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570" windowWidth="28455" windowHeight="11955"/>
  </bookViews>
  <sheets>
    <sheet name="Krycí list rozpočtu" sheetId="1" r:id="rId1"/>
    <sheet name="VORN" sheetId="2" state="hidden" r:id="rId2"/>
    <sheet name="Stavební rozpočet" sheetId="3" r:id="rId3"/>
  </sheets>
  <definedNames>
    <definedName name="vorn_sum">VORN!$I$45</definedName>
  </definedNames>
  <calcPr calcId="124519"/>
</workbook>
</file>

<file path=xl/calcChain.xml><?xml version="1.0" encoding="utf-8"?>
<calcChain xmlns="http://schemas.openxmlformats.org/spreadsheetml/2006/main">
  <c r="BR271" i="3"/>
  <c r="BJ271"/>
  <c r="BF271"/>
  <c r="BD271"/>
  <c r="AW271"/>
  <c r="AP271"/>
  <c r="BI271" s="1"/>
  <c r="AO271"/>
  <c r="BH271" s="1"/>
  <c r="AL271"/>
  <c r="AJ271"/>
  <c r="AH271"/>
  <c r="AG271"/>
  <c r="AF271"/>
  <c r="AE271"/>
  <c r="AD271"/>
  <c r="AC271"/>
  <c r="AB271"/>
  <c r="Z271"/>
  <c r="H271"/>
  <c r="AK271" s="1"/>
  <c r="AT270" s="1"/>
  <c r="AU270"/>
  <c r="AS270"/>
  <c r="H270"/>
  <c r="BO269"/>
  <c r="BJ269"/>
  <c r="BF269"/>
  <c r="BD269"/>
  <c r="AX269"/>
  <c r="AW269"/>
  <c r="BC269" s="1"/>
  <c r="AP269"/>
  <c r="BI269" s="1"/>
  <c r="AO269"/>
  <c r="BH269" s="1"/>
  <c r="AL269"/>
  <c r="AJ269"/>
  <c r="AH269"/>
  <c r="AG269"/>
  <c r="AF269"/>
  <c r="AE269"/>
  <c r="AD269"/>
  <c r="AC269"/>
  <c r="AB269"/>
  <c r="Z269"/>
  <c r="H269"/>
  <c r="AK269" s="1"/>
  <c r="AT268" s="1"/>
  <c r="AU268"/>
  <c r="AS268"/>
  <c r="H268"/>
  <c r="H267"/>
  <c r="BJ266"/>
  <c r="BF266"/>
  <c r="BD266"/>
  <c r="AX266"/>
  <c r="AW266"/>
  <c r="BC266" s="1"/>
  <c r="AP266"/>
  <c r="BI266" s="1"/>
  <c r="AG266" s="1"/>
  <c r="AO266"/>
  <c r="BH266" s="1"/>
  <c r="AF266" s="1"/>
  <c r="AL266"/>
  <c r="AJ266"/>
  <c r="AH266"/>
  <c r="AE266"/>
  <c r="AD266"/>
  <c r="AC266"/>
  <c r="AB266"/>
  <c r="Z266"/>
  <c r="H266"/>
  <c r="AK266" s="1"/>
  <c r="BJ265"/>
  <c r="BF265"/>
  <c r="BD265"/>
  <c r="AW265"/>
  <c r="AP265"/>
  <c r="AX265" s="1"/>
  <c r="AV265" s="1"/>
  <c r="AO265"/>
  <c r="BH265" s="1"/>
  <c r="AF265" s="1"/>
  <c r="AL265"/>
  <c r="AK265"/>
  <c r="AJ265"/>
  <c r="AH265"/>
  <c r="AE265"/>
  <c r="AD265"/>
  <c r="AC265"/>
  <c r="AB265"/>
  <c r="Z265"/>
  <c r="H265"/>
  <c r="BJ264"/>
  <c r="BF264"/>
  <c r="BD264"/>
  <c r="AP264"/>
  <c r="AX264" s="1"/>
  <c r="AO264"/>
  <c r="AW264" s="1"/>
  <c r="AL264"/>
  <c r="AJ264"/>
  <c r="AH264"/>
  <c r="AE264"/>
  <c r="AD264"/>
  <c r="AC264"/>
  <c r="AB264"/>
  <c r="Z264"/>
  <c r="H264"/>
  <c r="AK264" s="1"/>
  <c r="BJ263"/>
  <c r="BF263"/>
  <c r="BD263"/>
  <c r="AX263"/>
  <c r="AP263"/>
  <c r="BI263" s="1"/>
  <c r="AG263" s="1"/>
  <c r="AO263"/>
  <c r="AW263" s="1"/>
  <c r="AL263"/>
  <c r="AJ263"/>
  <c r="AH263"/>
  <c r="AE263"/>
  <c r="AD263"/>
  <c r="AC263"/>
  <c r="AB263"/>
  <c r="Z263"/>
  <c r="H263"/>
  <c r="AK263" s="1"/>
  <c r="BJ262"/>
  <c r="BF262"/>
  <c r="BD262"/>
  <c r="AW262"/>
  <c r="AP262"/>
  <c r="BI262" s="1"/>
  <c r="AG262" s="1"/>
  <c r="AO262"/>
  <c r="BH262" s="1"/>
  <c r="AF262" s="1"/>
  <c r="AL262"/>
  <c r="AJ262"/>
  <c r="AH262"/>
  <c r="AE262"/>
  <c r="AD262"/>
  <c r="AC262"/>
  <c r="AB262"/>
  <c r="Z262"/>
  <c r="H262"/>
  <c r="AK262" s="1"/>
  <c r="AU261"/>
  <c r="AS261"/>
  <c r="BJ259"/>
  <c r="BF259"/>
  <c r="BD259"/>
  <c r="AX259"/>
  <c r="AP259"/>
  <c r="BI259" s="1"/>
  <c r="AE259" s="1"/>
  <c r="AO259"/>
  <c r="BH259" s="1"/>
  <c r="AD259" s="1"/>
  <c r="AL259"/>
  <c r="AK259"/>
  <c r="AJ259"/>
  <c r="AH259"/>
  <c r="AG259"/>
  <c r="AF259"/>
  <c r="AC259"/>
  <c r="AB259"/>
  <c r="Z259"/>
  <c r="H259"/>
  <c r="BJ258"/>
  <c r="BF258"/>
  <c r="BD258"/>
  <c r="AW258"/>
  <c r="AV258" s="1"/>
  <c r="AP258"/>
  <c r="AX258" s="1"/>
  <c r="BC258" s="1"/>
  <c r="AO258"/>
  <c r="BH258" s="1"/>
  <c r="AD258" s="1"/>
  <c r="AL258"/>
  <c r="AJ258"/>
  <c r="AS251" s="1"/>
  <c r="AH258"/>
  <c r="AG258"/>
  <c r="AF258"/>
  <c r="AC258"/>
  <c r="AB258"/>
  <c r="Z258"/>
  <c r="H258"/>
  <c r="AK258" s="1"/>
  <c r="BJ252"/>
  <c r="BF252"/>
  <c r="BD252"/>
  <c r="AX252"/>
  <c r="AP252"/>
  <c r="BI252" s="1"/>
  <c r="AE252" s="1"/>
  <c r="AO252"/>
  <c r="AW252" s="1"/>
  <c r="AL252"/>
  <c r="AJ252"/>
  <c r="AH252"/>
  <c r="AG252"/>
  <c r="AF252"/>
  <c r="AC252"/>
  <c r="AB252"/>
  <c r="Z252"/>
  <c r="H252"/>
  <c r="AK252" s="1"/>
  <c r="AU251"/>
  <c r="H251"/>
  <c r="BJ250"/>
  <c r="BF250"/>
  <c r="BD250"/>
  <c r="AW250"/>
  <c r="AP250"/>
  <c r="BI250" s="1"/>
  <c r="AE250" s="1"/>
  <c r="AO250"/>
  <c r="BH250" s="1"/>
  <c r="AD250" s="1"/>
  <c r="AL250"/>
  <c r="AJ250"/>
  <c r="AH250"/>
  <c r="AG250"/>
  <c r="AF250"/>
  <c r="AC250"/>
  <c r="AB250"/>
  <c r="Z250"/>
  <c r="H250"/>
  <c r="AK250" s="1"/>
  <c r="BJ249"/>
  <c r="BF249"/>
  <c r="BD249"/>
  <c r="AX249"/>
  <c r="AP249"/>
  <c r="BI249" s="1"/>
  <c r="AE249" s="1"/>
  <c r="AO249"/>
  <c r="BH249" s="1"/>
  <c r="AD249" s="1"/>
  <c r="AL249"/>
  <c r="AK249"/>
  <c r="AJ249"/>
  <c r="AH249"/>
  <c r="AG249"/>
  <c r="AF249"/>
  <c r="AC249"/>
  <c r="AB249"/>
  <c r="Z249"/>
  <c r="H249"/>
  <c r="BJ247"/>
  <c r="BF247"/>
  <c r="BD247"/>
  <c r="AW247"/>
  <c r="AV247" s="1"/>
  <c r="AP247"/>
  <c r="AX247" s="1"/>
  <c r="BC247" s="1"/>
  <c r="AO247"/>
  <c r="BH247" s="1"/>
  <c r="AD247" s="1"/>
  <c r="AL247"/>
  <c r="AJ247"/>
  <c r="AH247"/>
  <c r="AG247"/>
  <c r="AF247"/>
  <c r="AC247"/>
  <c r="AB247"/>
  <c r="Z247"/>
  <c r="H247"/>
  <c r="AK247" s="1"/>
  <c r="AU246"/>
  <c r="AS246"/>
  <c r="H246"/>
  <c r="BJ245"/>
  <c r="Z245" s="1"/>
  <c r="BF245"/>
  <c r="BD245"/>
  <c r="AX245"/>
  <c r="AP245"/>
  <c r="BI245" s="1"/>
  <c r="AO245"/>
  <c r="AW245" s="1"/>
  <c r="AL245"/>
  <c r="AJ245"/>
  <c r="AH245"/>
  <c r="AG245"/>
  <c r="AF245"/>
  <c r="AE245"/>
  <c r="AD245"/>
  <c r="AC245"/>
  <c r="AB245"/>
  <c r="H245"/>
  <c r="AK245" s="1"/>
  <c r="BJ243"/>
  <c r="BF243"/>
  <c r="BD243"/>
  <c r="AW243"/>
  <c r="AP243"/>
  <c r="BI243" s="1"/>
  <c r="AE243" s="1"/>
  <c r="AO243"/>
  <c r="BH243" s="1"/>
  <c r="AD243" s="1"/>
  <c r="AL243"/>
  <c r="AJ243"/>
  <c r="AH243"/>
  <c r="AG243"/>
  <c r="AF243"/>
  <c r="AC243"/>
  <c r="AB243"/>
  <c r="Z243"/>
  <c r="H243"/>
  <c r="AK243" s="1"/>
  <c r="BJ239"/>
  <c r="BF239"/>
  <c r="BD239"/>
  <c r="AX239"/>
  <c r="AP239"/>
  <c r="BI239" s="1"/>
  <c r="AE239" s="1"/>
  <c r="AO239"/>
  <c r="BH239" s="1"/>
  <c r="AD239" s="1"/>
  <c r="AL239"/>
  <c r="AK239"/>
  <c r="AJ239"/>
  <c r="AH239"/>
  <c r="AG239"/>
  <c r="AF239"/>
  <c r="AC239"/>
  <c r="AB239"/>
  <c r="Z239"/>
  <c r="H239"/>
  <c r="BJ238"/>
  <c r="BF238"/>
  <c r="BD238"/>
  <c r="AW238"/>
  <c r="AV238" s="1"/>
  <c r="AP238"/>
  <c r="AX238" s="1"/>
  <c r="BC238" s="1"/>
  <c r="AO238"/>
  <c r="BH238" s="1"/>
  <c r="AD238" s="1"/>
  <c r="AL238"/>
  <c r="AJ238"/>
  <c r="AS230" s="1"/>
  <c r="AH238"/>
  <c r="AG238"/>
  <c r="AF238"/>
  <c r="AC238"/>
  <c r="AB238"/>
  <c r="Z238"/>
  <c r="H238"/>
  <c r="AK238" s="1"/>
  <c r="BJ236"/>
  <c r="BF236"/>
  <c r="BD236"/>
  <c r="AX236"/>
  <c r="AP236"/>
  <c r="BI236" s="1"/>
  <c r="AE236" s="1"/>
  <c r="AO236"/>
  <c r="AW236" s="1"/>
  <c r="AL236"/>
  <c r="AJ236"/>
  <c r="AH236"/>
  <c r="AG236"/>
  <c r="AF236"/>
  <c r="AC236"/>
  <c r="AB236"/>
  <c r="Z236"/>
  <c r="H236"/>
  <c r="AK236" s="1"/>
  <c r="BJ235"/>
  <c r="BF235"/>
  <c r="BD235"/>
  <c r="AW235"/>
  <c r="AP235"/>
  <c r="BI235" s="1"/>
  <c r="AE235" s="1"/>
  <c r="AO235"/>
  <c r="BH235" s="1"/>
  <c r="AD235" s="1"/>
  <c r="AL235"/>
  <c r="AU230" s="1"/>
  <c r="AJ235"/>
  <c r="AH235"/>
  <c r="AG235"/>
  <c r="AF235"/>
  <c r="AC235"/>
  <c r="AB235"/>
  <c r="Z235"/>
  <c r="H235"/>
  <c r="AK235" s="1"/>
  <c r="BJ231"/>
  <c r="BF231"/>
  <c r="BD231"/>
  <c r="AX231"/>
  <c r="AP231"/>
  <c r="BI231" s="1"/>
  <c r="AE231" s="1"/>
  <c r="AO231"/>
  <c r="BH231" s="1"/>
  <c r="AD231" s="1"/>
  <c r="AL231"/>
  <c r="AK231"/>
  <c r="AJ231"/>
  <c r="AH231"/>
  <c r="AG231"/>
  <c r="AF231"/>
  <c r="AC231"/>
  <c r="AB231"/>
  <c r="Z231"/>
  <c r="H231"/>
  <c r="BJ229"/>
  <c r="BF229"/>
  <c r="BD229"/>
  <c r="AW229"/>
  <c r="AP229"/>
  <c r="AX229" s="1"/>
  <c r="BC229" s="1"/>
  <c r="AO229"/>
  <c r="BH229" s="1"/>
  <c r="AL229"/>
  <c r="AJ229"/>
  <c r="AH229"/>
  <c r="AG229"/>
  <c r="AF229"/>
  <c r="AE229"/>
  <c r="AD229"/>
  <c r="AC229"/>
  <c r="AB229"/>
  <c r="Z229"/>
  <c r="H229"/>
  <c r="AK229" s="1"/>
  <c r="BJ228"/>
  <c r="BF228"/>
  <c r="BD228"/>
  <c r="AX228"/>
  <c r="AP228"/>
  <c r="BI228" s="1"/>
  <c r="AE228" s="1"/>
  <c r="AO228"/>
  <c r="AW228" s="1"/>
  <c r="AL228"/>
  <c r="AJ228"/>
  <c r="AH228"/>
  <c r="AG228"/>
  <c r="AF228"/>
  <c r="AC228"/>
  <c r="AB228"/>
  <c r="Z228"/>
  <c r="H228"/>
  <c r="AK228" s="1"/>
  <c r="BJ227"/>
  <c r="BF227"/>
  <c r="BD227"/>
  <c r="AW227"/>
  <c r="AP227"/>
  <c r="BI227" s="1"/>
  <c r="AE227" s="1"/>
  <c r="AO227"/>
  <c r="BH227" s="1"/>
  <c r="AD227" s="1"/>
  <c r="AL227"/>
  <c r="AJ227"/>
  <c r="AH227"/>
  <c r="AG227"/>
  <c r="AF227"/>
  <c r="AC227"/>
  <c r="AB227"/>
  <c r="Z227"/>
  <c r="H227"/>
  <c r="AK227" s="1"/>
  <c r="AT226" s="1"/>
  <c r="AU226"/>
  <c r="AS226"/>
  <c r="BJ225"/>
  <c r="Z225" s="1"/>
  <c r="BF225"/>
  <c r="BD225"/>
  <c r="AX225"/>
  <c r="AP225"/>
  <c r="BI225" s="1"/>
  <c r="AO225"/>
  <c r="BH225" s="1"/>
  <c r="AL225"/>
  <c r="AK225"/>
  <c r="AJ225"/>
  <c r="AH225"/>
  <c r="AG225"/>
  <c r="AF225"/>
  <c r="AE225"/>
  <c r="AD225"/>
  <c r="AC225"/>
  <c r="AB225"/>
  <c r="H225"/>
  <c r="BJ223"/>
  <c r="BF223"/>
  <c r="BD223"/>
  <c r="AW223"/>
  <c r="AV223" s="1"/>
  <c r="AP223"/>
  <c r="AX223" s="1"/>
  <c r="BC223" s="1"/>
  <c r="AO223"/>
  <c r="BH223" s="1"/>
  <c r="AD223" s="1"/>
  <c r="AL223"/>
  <c r="AJ223"/>
  <c r="AH223"/>
  <c r="AG223"/>
  <c r="AF223"/>
  <c r="AC223"/>
  <c r="AB223"/>
  <c r="Z223"/>
  <c r="H223"/>
  <c r="AK223" s="1"/>
  <c r="BJ222"/>
  <c r="BF222"/>
  <c r="BD222"/>
  <c r="AX222"/>
  <c r="AP222"/>
  <c r="BI222" s="1"/>
  <c r="AE222" s="1"/>
  <c r="AO222"/>
  <c r="AW222" s="1"/>
  <c r="AL222"/>
  <c r="AJ222"/>
  <c r="AH222"/>
  <c r="AG222"/>
  <c r="AF222"/>
  <c r="AC222"/>
  <c r="AB222"/>
  <c r="Z222"/>
  <c r="H222"/>
  <c r="AK222" s="1"/>
  <c r="BJ220"/>
  <c r="BF220"/>
  <c r="BD220"/>
  <c r="AW220"/>
  <c r="AP220"/>
  <c r="BI220" s="1"/>
  <c r="AE220" s="1"/>
  <c r="AO220"/>
  <c r="BH220" s="1"/>
  <c r="AD220" s="1"/>
  <c r="AL220"/>
  <c r="AJ220"/>
  <c r="AH220"/>
  <c r="AG220"/>
  <c r="AF220"/>
  <c r="AC220"/>
  <c r="AB220"/>
  <c r="Z220"/>
  <c r="H220"/>
  <c r="AK220" s="1"/>
  <c r="BJ215"/>
  <c r="BF215"/>
  <c r="BD215"/>
  <c r="AX215"/>
  <c r="AP215"/>
  <c r="BI215" s="1"/>
  <c r="AE215" s="1"/>
  <c r="AO215"/>
  <c r="BH215" s="1"/>
  <c r="AD215" s="1"/>
  <c r="AL215"/>
  <c r="AK215"/>
  <c r="AJ215"/>
  <c r="AH215"/>
  <c r="AG215"/>
  <c r="AF215"/>
  <c r="AC215"/>
  <c r="AB215"/>
  <c r="Z215"/>
  <c r="H215"/>
  <c r="BJ211"/>
  <c r="BF211"/>
  <c r="BD211"/>
  <c r="AW211"/>
  <c r="AV211" s="1"/>
  <c r="AP211"/>
  <c r="AX211" s="1"/>
  <c r="BC211" s="1"/>
  <c r="AO211"/>
  <c r="BH211" s="1"/>
  <c r="AD211" s="1"/>
  <c r="AL211"/>
  <c r="AU206" s="1"/>
  <c r="AJ211"/>
  <c r="AS206" s="1"/>
  <c r="AH211"/>
  <c r="AG211"/>
  <c r="AF211"/>
  <c r="AC211"/>
  <c r="AB211"/>
  <c r="Z211"/>
  <c r="H211"/>
  <c r="AK211" s="1"/>
  <c r="BJ207"/>
  <c r="BF207"/>
  <c r="BD207"/>
  <c r="AX207"/>
  <c r="AP207"/>
  <c r="BI207" s="1"/>
  <c r="AE207" s="1"/>
  <c r="AO207"/>
  <c r="AW207" s="1"/>
  <c r="AL207"/>
  <c r="AJ207"/>
  <c r="AH207"/>
  <c r="AG207"/>
  <c r="AF207"/>
  <c r="AC207"/>
  <c r="AB207"/>
  <c r="Z207"/>
  <c r="H207"/>
  <c r="AK207" s="1"/>
  <c r="H206"/>
  <c r="BJ205"/>
  <c r="BF205"/>
  <c r="BD205"/>
  <c r="AW205"/>
  <c r="AP205"/>
  <c r="BI205" s="1"/>
  <c r="AO205"/>
  <c r="BH205" s="1"/>
  <c r="AL205"/>
  <c r="AJ205"/>
  <c r="AH205"/>
  <c r="AG205"/>
  <c r="AF205"/>
  <c r="AE205"/>
  <c r="AD205"/>
  <c r="AC205"/>
  <c r="AB205"/>
  <c r="Z205"/>
  <c r="H205"/>
  <c r="AK205" s="1"/>
  <c r="BJ203"/>
  <c r="BF203"/>
  <c r="BD203"/>
  <c r="AX203"/>
  <c r="AP203"/>
  <c r="BI203" s="1"/>
  <c r="AE203" s="1"/>
  <c r="AO203"/>
  <c r="BH203" s="1"/>
  <c r="AD203" s="1"/>
  <c r="AL203"/>
  <c r="AK203"/>
  <c r="AJ203"/>
  <c r="AH203"/>
  <c r="AG203"/>
  <c r="AF203"/>
  <c r="AC203"/>
  <c r="AB203"/>
  <c r="Z203"/>
  <c r="H203"/>
  <c r="BJ202"/>
  <c r="BF202"/>
  <c r="BD202"/>
  <c r="AW202"/>
  <c r="AV202" s="1"/>
  <c r="AP202"/>
  <c r="AX202" s="1"/>
  <c r="BC202" s="1"/>
  <c r="AO202"/>
  <c r="BH202" s="1"/>
  <c r="AD202" s="1"/>
  <c r="AL202"/>
  <c r="AJ202"/>
  <c r="AH202"/>
  <c r="AG202"/>
  <c r="AF202"/>
  <c r="AC202"/>
  <c r="AB202"/>
  <c r="Z202"/>
  <c r="H202"/>
  <c r="AK202" s="1"/>
  <c r="BJ198"/>
  <c r="BF198"/>
  <c r="BD198"/>
  <c r="AX198"/>
  <c r="AP198"/>
  <c r="BI198" s="1"/>
  <c r="AE198" s="1"/>
  <c r="AO198"/>
  <c r="AW198" s="1"/>
  <c r="AL198"/>
  <c r="AJ198"/>
  <c r="AH198"/>
  <c r="AG198"/>
  <c r="AF198"/>
  <c r="AC198"/>
  <c r="AB198"/>
  <c r="Z198"/>
  <c r="H198"/>
  <c r="AK198" s="1"/>
  <c r="BJ196"/>
  <c r="BF196"/>
  <c r="BD196"/>
  <c r="AW196"/>
  <c r="AP196"/>
  <c r="BI196" s="1"/>
  <c r="AE196" s="1"/>
  <c r="AO196"/>
  <c r="BH196" s="1"/>
  <c r="AD196" s="1"/>
  <c r="AL196"/>
  <c r="AJ196"/>
  <c r="AH196"/>
  <c r="AG196"/>
  <c r="AF196"/>
  <c r="AC196"/>
  <c r="AB196"/>
  <c r="Z196"/>
  <c r="H196"/>
  <c r="AK196" s="1"/>
  <c r="BJ194"/>
  <c r="BF194"/>
  <c r="BD194"/>
  <c r="AX194"/>
  <c r="AP194"/>
  <c r="BI194" s="1"/>
  <c r="AE194" s="1"/>
  <c r="AO194"/>
  <c r="BH194" s="1"/>
  <c r="AD194" s="1"/>
  <c r="AL194"/>
  <c r="AK194"/>
  <c r="AJ194"/>
  <c r="AH194"/>
  <c r="AG194"/>
  <c r="AF194"/>
  <c r="AC194"/>
  <c r="AB194"/>
  <c r="Z194"/>
  <c r="H194"/>
  <c r="BJ192"/>
  <c r="BF192"/>
  <c r="BD192"/>
  <c r="AW192"/>
  <c r="AP192"/>
  <c r="AX192" s="1"/>
  <c r="BC192" s="1"/>
  <c r="AO192"/>
  <c r="BH192" s="1"/>
  <c r="AD192" s="1"/>
  <c r="AL192"/>
  <c r="AU190" s="1"/>
  <c r="AJ192"/>
  <c r="AS190" s="1"/>
  <c r="AH192"/>
  <c r="AG192"/>
  <c r="AF192"/>
  <c r="AC192"/>
  <c r="AB192"/>
  <c r="Z192"/>
  <c r="H192"/>
  <c r="AK192" s="1"/>
  <c r="BJ191"/>
  <c r="BF191"/>
  <c r="BD191"/>
  <c r="AX191"/>
  <c r="AP191"/>
  <c r="BI191" s="1"/>
  <c r="AE191" s="1"/>
  <c r="AO191"/>
  <c r="AW191" s="1"/>
  <c r="AL191"/>
  <c r="AJ191"/>
  <c r="AH191"/>
  <c r="AG191"/>
  <c r="AF191"/>
  <c r="AC191"/>
  <c r="AB191"/>
  <c r="Z191"/>
  <c r="H191"/>
  <c r="AK191" s="1"/>
  <c r="AT190" s="1"/>
  <c r="H190"/>
  <c r="BJ189"/>
  <c r="BF189"/>
  <c r="BD189"/>
  <c r="AW189"/>
  <c r="AP189"/>
  <c r="BI189" s="1"/>
  <c r="AO189"/>
  <c r="BH189" s="1"/>
  <c r="AL189"/>
  <c r="AJ189"/>
  <c r="AH189"/>
  <c r="AG189"/>
  <c r="AF189"/>
  <c r="AE189"/>
  <c r="AD189"/>
  <c r="AC189"/>
  <c r="AB189"/>
  <c r="Z189"/>
  <c r="H189"/>
  <c r="AK189" s="1"/>
  <c r="BJ188"/>
  <c r="BF188"/>
  <c r="BD188"/>
  <c r="AX188"/>
  <c r="AP188"/>
  <c r="BI188" s="1"/>
  <c r="AE188" s="1"/>
  <c r="AO188"/>
  <c r="BH188" s="1"/>
  <c r="AD188" s="1"/>
  <c r="AL188"/>
  <c r="AK188"/>
  <c r="AJ188"/>
  <c r="AH188"/>
  <c r="AG188"/>
  <c r="AF188"/>
  <c r="AC188"/>
  <c r="AB188"/>
  <c r="Z188"/>
  <c r="H188"/>
  <c r="BJ187"/>
  <c r="BF187"/>
  <c r="BD187"/>
  <c r="AW187"/>
  <c r="AP187"/>
  <c r="AX187" s="1"/>
  <c r="BC187" s="1"/>
  <c r="AO187"/>
  <c r="BH187" s="1"/>
  <c r="AD187" s="1"/>
  <c r="AL187"/>
  <c r="AJ187"/>
  <c r="AH187"/>
  <c r="AG187"/>
  <c r="AF187"/>
  <c r="AC187"/>
  <c r="AB187"/>
  <c r="Z187"/>
  <c r="H187"/>
  <c r="AK187" s="1"/>
  <c r="BJ186"/>
  <c r="BF186"/>
  <c r="BD186"/>
  <c r="AX186"/>
  <c r="AP186"/>
  <c r="BI186" s="1"/>
  <c r="AE186" s="1"/>
  <c r="AO186"/>
  <c r="AW186" s="1"/>
  <c r="AL186"/>
  <c r="AJ186"/>
  <c r="AH186"/>
  <c r="AG186"/>
  <c r="AF186"/>
  <c r="AC186"/>
  <c r="AB186"/>
  <c r="Z186"/>
  <c r="H186"/>
  <c r="AK186" s="1"/>
  <c r="BJ184"/>
  <c r="BF184"/>
  <c r="BD184"/>
  <c r="AW184"/>
  <c r="AP184"/>
  <c r="BI184" s="1"/>
  <c r="AE184" s="1"/>
  <c r="AO184"/>
  <c r="BH184" s="1"/>
  <c r="AD184" s="1"/>
  <c r="AL184"/>
  <c r="AJ184"/>
  <c r="AH184"/>
  <c r="AG184"/>
  <c r="AF184"/>
  <c r="AC184"/>
  <c r="AB184"/>
  <c r="Z184"/>
  <c r="H184"/>
  <c r="AK184" s="1"/>
  <c r="BJ183"/>
  <c r="BF183"/>
  <c r="BD183"/>
  <c r="AX183"/>
  <c r="AP183"/>
  <c r="BI183" s="1"/>
  <c r="AE183" s="1"/>
  <c r="AO183"/>
  <c r="BH183" s="1"/>
  <c r="AD183" s="1"/>
  <c r="AL183"/>
  <c r="AK183"/>
  <c r="AJ183"/>
  <c r="AH183"/>
  <c r="AG183"/>
  <c r="AF183"/>
  <c r="AC183"/>
  <c r="AB183"/>
  <c r="Z183"/>
  <c r="H183"/>
  <c r="BJ182"/>
  <c r="BF182"/>
  <c r="BD182"/>
  <c r="AW182"/>
  <c r="AP182"/>
  <c r="AX182" s="1"/>
  <c r="BC182" s="1"/>
  <c r="AO182"/>
  <c r="BH182" s="1"/>
  <c r="AD182" s="1"/>
  <c r="AL182"/>
  <c r="AJ182"/>
  <c r="AH182"/>
  <c r="AG182"/>
  <c r="AF182"/>
  <c r="AC182"/>
  <c r="AB182"/>
  <c r="Z182"/>
  <c r="H182"/>
  <c r="AK182" s="1"/>
  <c r="BJ181"/>
  <c r="BF181"/>
  <c r="BD181"/>
  <c r="AX181"/>
  <c r="AP181"/>
  <c r="BI181" s="1"/>
  <c r="AE181" s="1"/>
  <c r="AO181"/>
  <c r="AW181" s="1"/>
  <c r="AL181"/>
  <c r="AJ181"/>
  <c r="AH181"/>
  <c r="AG181"/>
  <c r="AF181"/>
  <c r="AC181"/>
  <c r="AB181"/>
  <c r="Z181"/>
  <c r="H181"/>
  <c r="AK181" s="1"/>
  <c r="BJ180"/>
  <c r="BF180"/>
  <c r="BD180"/>
  <c r="AW180"/>
  <c r="AP180"/>
  <c r="BI180" s="1"/>
  <c r="AE180" s="1"/>
  <c r="AO180"/>
  <c r="BH180" s="1"/>
  <c r="AD180" s="1"/>
  <c r="AL180"/>
  <c r="AJ180"/>
  <c r="AH180"/>
  <c r="AG180"/>
  <c r="AF180"/>
  <c r="AC180"/>
  <c r="AB180"/>
  <c r="Z180"/>
  <c r="H180"/>
  <c r="AK180" s="1"/>
  <c r="BJ179"/>
  <c r="BF179"/>
  <c r="BD179"/>
  <c r="AX179"/>
  <c r="AP179"/>
  <c r="BI179" s="1"/>
  <c r="AE179" s="1"/>
  <c r="AO179"/>
  <c r="BH179" s="1"/>
  <c r="AD179" s="1"/>
  <c r="AL179"/>
  <c r="AK179"/>
  <c r="AJ179"/>
  <c r="AH179"/>
  <c r="AG179"/>
  <c r="AF179"/>
  <c r="AC179"/>
  <c r="AB179"/>
  <c r="Z179"/>
  <c r="H179"/>
  <c r="BJ178"/>
  <c r="BF178"/>
  <c r="BD178"/>
  <c r="AW178"/>
  <c r="AV178" s="1"/>
  <c r="AP178"/>
  <c r="AX178" s="1"/>
  <c r="BC178" s="1"/>
  <c r="AO178"/>
  <c r="BH178" s="1"/>
  <c r="AD178" s="1"/>
  <c r="AL178"/>
  <c r="AJ178"/>
  <c r="AH178"/>
  <c r="AG178"/>
  <c r="AF178"/>
  <c r="AC178"/>
  <c r="AB178"/>
  <c r="Z178"/>
  <c r="H178"/>
  <c r="AK178" s="1"/>
  <c r="BJ177"/>
  <c r="BF177"/>
  <c r="BD177"/>
  <c r="AX177"/>
  <c r="AP177"/>
  <c r="BI177" s="1"/>
  <c r="AE177" s="1"/>
  <c r="AO177"/>
  <c r="AW177" s="1"/>
  <c r="AL177"/>
  <c r="AJ177"/>
  <c r="AH177"/>
  <c r="AG177"/>
  <c r="AF177"/>
  <c r="AC177"/>
  <c r="AB177"/>
  <c r="Z177"/>
  <c r="H177"/>
  <c r="AK177" s="1"/>
  <c r="BJ176"/>
  <c r="BF176"/>
  <c r="BD176"/>
  <c r="AW176"/>
  <c r="AP176"/>
  <c r="BI176" s="1"/>
  <c r="AE176" s="1"/>
  <c r="AO176"/>
  <c r="BH176" s="1"/>
  <c r="AD176" s="1"/>
  <c r="AL176"/>
  <c r="AU174" s="1"/>
  <c r="AJ176"/>
  <c r="AS174" s="1"/>
  <c r="AH176"/>
  <c r="AG176"/>
  <c r="AF176"/>
  <c r="AC176"/>
  <c r="AB176"/>
  <c r="Z176"/>
  <c r="H176"/>
  <c r="AK176" s="1"/>
  <c r="BJ175"/>
  <c r="BF175"/>
  <c r="BD175"/>
  <c r="AX175"/>
  <c r="AP175"/>
  <c r="BI175" s="1"/>
  <c r="AE175" s="1"/>
  <c r="AO175"/>
  <c r="BH175" s="1"/>
  <c r="AD175" s="1"/>
  <c r="AL175"/>
  <c r="AK175"/>
  <c r="AJ175"/>
  <c r="AH175"/>
  <c r="AG175"/>
  <c r="AF175"/>
  <c r="AC175"/>
  <c r="AB175"/>
  <c r="Z175"/>
  <c r="H175"/>
  <c r="H174"/>
  <c r="BJ173"/>
  <c r="BF173"/>
  <c r="BD173"/>
  <c r="AW173"/>
  <c r="AV173" s="1"/>
  <c r="AP173"/>
  <c r="AX173" s="1"/>
  <c r="BC173" s="1"/>
  <c r="AO173"/>
  <c r="BH173" s="1"/>
  <c r="AD173" s="1"/>
  <c r="AL173"/>
  <c r="AJ173"/>
  <c r="AH173"/>
  <c r="AG173"/>
  <c r="AF173"/>
  <c r="AC173"/>
  <c r="AB173"/>
  <c r="Z173"/>
  <c r="H173"/>
  <c r="AK173" s="1"/>
  <c r="AT172" s="1"/>
  <c r="AU172"/>
  <c r="AS172"/>
  <c r="H172"/>
  <c r="BJ171"/>
  <c r="BF171"/>
  <c r="BD171"/>
  <c r="AX171"/>
  <c r="AP171"/>
  <c r="BI171" s="1"/>
  <c r="AE171" s="1"/>
  <c r="AO171"/>
  <c r="AW171" s="1"/>
  <c r="AL171"/>
  <c r="AJ171"/>
  <c r="AH171"/>
  <c r="AG171"/>
  <c r="AF171"/>
  <c r="AC171"/>
  <c r="AB171"/>
  <c r="Z171"/>
  <c r="H171"/>
  <c r="AK171" s="1"/>
  <c r="BJ170"/>
  <c r="BF170"/>
  <c r="BD170"/>
  <c r="AW170"/>
  <c r="AP170"/>
  <c r="BI170" s="1"/>
  <c r="AE170" s="1"/>
  <c r="AO170"/>
  <c r="BH170" s="1"/>
  <c r="AD170" s="1"/>
  <c r="AL170"/>
  <c r="AU168" s="1"/>
  <c r="AJ170"/>
  <c r="AS168" s="1"/>
  <c r="AH170"/>
  <c r="AG170"/>
  <c r="AF170"/>
  <c r="AC170"/>
  <c r="AB170"/>
  <c r="Z170"/>
  <c r="H170"/>
  <c r="AK170" s="1"/>
  <c r="AT168" s="1"/>
  <c r="BJ169"/>
  <c r="BF169"/>
  <c r="BD169"/>
  <c r="AX169"/>
  <c r="AP169"/>
  <c r="BI169" s="1"/>
  <c r="AE169" s="1"/>
  <c r="AO169"/>
  <c r="BH169" s="1"/>
  <c r="AD169" s="1"/>
  <c r="AL169"/>
  <c r="AK169"/>
  <c r="AJ169"/>
  <c r="AH169"/>
  <c r="AG169"/>
  <c r="AF169"/>
  <c r="AC169"/>
  <c r="AB169"/>
  <c r="Z169"/>
  <c r="H169"/>
  <c r="H168"/>
  <c r="BJ167"/>
  <c r="BF167"/>
  <c r="BD167"/>
  <c r="AW167"/>
  <c r="AP167"/>
  <c r="AX167" s="1"/>
  <c r="BC167" s="1"/>
  <c r="AO167"/>
  <c r="BH167" s="1"/>
  <c r="AL167"/>
  <c r="AJ167"/>
  <c r="AH167"/>
  <c r="AG167"/>
  <c r="AF167"/>
  <c r="AE167"/>
  <c r="AD167"/>
  <c r="AC167"/>
  <c r="AB167"/>
  <c r="Z167"/>
  <c r="H167"/>
  <c r="AK167" s="1"/>
  <c r="BJ166"/>
  <c r="BF166"/>
  <c r="BD166"/>
  <c r="BC166"/>
  <c r="AP166"/>
  <c r="AX166" s="1"/>
  <c r="AO166"/>
  <c r="AW166" s="1"/>
  <c r="AL166"/>
  <c r="AJ166"/>
  <c r="AH166"/>
  <c r="AG166"/>
  <c r="AF166"/>
  <c r="AC166"/>
  <c r="AB166"/>
  <c r="Z166"/>
  <c r="H166"/>
  <c r="AK166" s="1"/>
  <c r="BJ165"/>
  <c r="BF165"/>
  <c r="BD165"/>
  <c r="AX165"/>
  <c r="AP165"/>
  <c r="BI165" s="1"/>
  <c r="AE165" s="1"/>
  <c r="AO165"/>
  <c r="AW165" s="1"/>
  <c r="AL165"/>
  <c r="AJ165"/>
  <c r="AH165"/>
  <c r="AG165"/>
  <c r="AF165"/>
  <c r="AC165"/>
  <c r="AB165"/>
  <c r="Z165"/>
  <c r="H165"/>
  <c r="AK165" s="1"/>
  <c r="BJ164"/>
  <c r="BF164"/>
  <c r="BD164"/>
  <c r="AX164"/>
  <c r="AW164"/>
  <c r="AP164"/>
  <c r="BI164" s="1"/>
  <c r="AE164" s="1"/>
  <c r="AO164"/>
  <c r="BH164" s="1"/>
  <c r="AD164" s="1"/>
  <c r="AL164"/>
  <c r="AK164"/>
  <c r="AJ164"/>
  <c r="AH164"/>
  <c r="AG164"/>
  <c r="AF164"/>
  <c r="AC164"/>
  <c r="AB164"/>
  <c r="Z164"/>
  <c r="H164"/>
  <c r="BJ163"/>
  <c r="BF163"/>
  <c r="BD163"/>
  <c r="AW163"/>
  <c r="AV163"/>
  <c r="AP163"/>
  <c r="AX163" s="1"/>
  <c r="BC163" s="1"/>
  <c r="AO163"/>
  <c r="BH163" s="1"/>
  <c r="AD163" s="1"/>
  <c r="AL163"/>
  <c r="AK163"/>
  <c r="AJ163"/>
  <c r="AH163"/>
  <c r="AG163"/>
  <c r="AF163"/>
  <c r="AC163"/>
  <c r="AB163"/>
  <c r="Z163"/>
  <c r="H163"/>
  <c r="BJ162"/>
  <c r="BF162"/>
  <c r="BD162"/>
  <c r="BC162"/>
  <c r="AP162"/>
  <c r="AX162" s="1"/>
  <c r="AO162"/>
  <c r="AW162" s="1"/>
  <c r="AL162"/>
  <c r="AJ162"/>
  <c r="AH162"/>
  <c r="AG162"/>
  <c r="AF162"/>
  <c r="AC162"/>
  <c r="AB162"/>
  <c r="Z162"/>
  <c r="H162"/>
  <c r="AK162" s="1"/>
  <c r="BJ161"/>
  <c r="BF161"/>
  <c r="BD161"/>
  <c r="AX161"/>
  <c r="AP161"/>
  <c r="BI161" s="1"/>
  <c r="AE161" s="1"/>
  <c r="AO161"/>
  <c r="AW161" s="1"/>
  <c r="AL161"/>
  <c r="AJ161"/>
  <c r="AH161"/>
  <c r="AG161"/>
  <c r="AF161"/>
  <c r="AC161"/>
  <c r="AB161"/>
  <c r="Z161"/>
  <c r="H161"/>
  <c r="AK161" s="1"/>
  <c r="BJ160"/>
  <c r="BF160"/>
  <c r="BD160"/>
  <c r="AX160"/>
  <c r="AW160"/>
  <c r="AP160"/>
  <c r="BI160" s="1"/>
  <c r="AE160" s="1"/>
  <c r="AO160"/>
  <c r="BH160" s="1"/>
  <c r="AD160" s="1"/>
  <c r="AL160"/>
  <c r="AJ160"/>
  <c r="AH160"/>
  <c r="AG160"/>
  <c r="AF160"/>
  <c r="AC160"/>
  <c r="AB160"/>
  <c r="Z160"/>
  <c r="H160"/>
  <c r="AK160" s="1"/>
  <c r="BJ159"/>
  <c r="BF159"/>
  <c r="BD159"/>
  <c r="AX159"/>
  <c r="AP159"/>
  <c r="BI159" s="1"/>
  <c r="AE159" s="1"/>
  <c r="AO159"/>
  <c r="AW159" s="1"/>
  <c r="BC159" s="1"/>
  <c r="AL159"/>
  <c r="AK159"/>
  <c r="AJ159"/>
  <c r="AH159"/>
  <c r="AG159"/>
  <c r="AF159"/>
  <c r="AC159"/>
  <c r="AB159"/>
  <c r="Z159"/>
  <c r="H159"/>
  <c r="BJ158"/>
  <c r="BI158"/>
  <c r="BF158"/>
  <c r="BD158"/>
  <c r="BC158"/>
  <c r="AW158"/>
  <c r="AV158" s="1"/>
  <c r="AP158"/>
  <c r="AX158" s="1"/>
  <c r="AO158"/>
  <c r="BH158" s="1"/>
  <c r="AD158" s="1"/>
  <c r="AL158"/>
  <c r="AJ158"/>
  <c r="AH158"/>
  <c r="AG158"/>
  <c r="AF158"/>
  <c r="AE158"/>
  <c r="AC158"/>
  <c r="AB158"/>
  <c r="Z158"/>
  <c r="H158"/>
  <c r="AK158" s="1"/>
  <c r="BJ157"/>
  <c r="BF157"/>
  <c r="BD157"/>
  <c r="AX157"/>
  <c r="AP157"/>
  <c r="BI157" s="1"/>
  <c r="AE157" s="1"/>
  <c r="AO157"/>
  <c r="AW157" s="1"/>
  <c r="AL157"/>
  <c r="AJ157"/>
  <c r="AH157"/>
  <c r="AG157"/>
  <c r="AF157"/>
  <c r="AC157"/>
  <c r="AB157"/>
  <c r="Z157"/>
  <c r="H157"/>
  <c r="AK157" s="1"/>
  <c r="BJ156"/>
  <c r="BF156"/>
  <c r="BD156"/>
  <c r="AW156"/>
  <c r="AP156"/>
  <c r="AX156" s="1"/>
  <c r="AO156"/>
  <c r="BH156" s="1"/>
  <c r="AD156" s="1"/>
  <c r="AL156"/>
  <c r="AJ156"/>
  <c r="AH156"/>
  <c r="AG156"/>
  <c r="AF156"/>
  <c r="AC156"/>
  <c r="AB156"/>
  <c r="Z156"/>
  <c r="H156"/>
  <c r="AK156" s="1"/>
  <c r="BJ155"/>
  <c r="BF155"/>
  <c r="BD155"/>
  <c r="AX155"/>
  <c r="AP155"/>
  <c r="BI155" s="1"/>
  <c r="AE155" s="1"/>
  <c r="AO155"/>
  <c r="AW155" s="1"/>
  <c r="BC155" s="1"/>
  <c r="AL155"/>
  <c r="AK155"/>
  <c r="AJ155"/>
  <c r="AH155"/>
  <c r="AG155"/>
  <c r="AF155"/>
  <c r="AC155"/>
  <c r="AB155"/>
  <c r="Z155"/>
  <c r="H155"/>
  <c r="BJ154"/>
  <c r="BI154"/>
  <c r="BF154"/>
  <c r="BD154"/>
  <c r="AW154"/>
  <c r="AV154" s="1"/>
  <c r="AP154"/>
  <c r="AX154" s="1"/>
  <c r="BC154" s="1"/>
  <c r="AO154"/>
  <c r="BH154" s="1"/>
  <c r="AD154" s="1"/>
  <c r="AL154"/>
  <c r="AJ154"/>
  <c r="AH154"/>
  <c r="AG154"/>
  <c r="AF154"/>
  <c r="AE154"/>
  <c r="AC154"/>
  <c r="AB154"/>
  <c r="Z154"/>
  <c r="H154"/>
  <c r="AK154" s="1"/>
  <c r="BJ152"/>
  <c r="BH152"/>
  <c r="BF152"/>
  <c r="BD152"/>
  <c r="AX152"/>
  <c r="AP152"/>
  <c r="BI152" s="1"/>
  <c r="AE152" s="1"/>
  <c r="AO152"/>
  <c r="AW152" s="1"/>
  <c r="AL152"/>
  <c r="AJ152"/>
  <c r="AH152"/>
  <c r="AG152"/>
  <c r="AF152"/>
  <c r="AD152"/>
  <c r="AC152"/>
  <c r="AB152"/>
  <c r="Z152"/>
  <c r="H152"/>
  <c r="AK152" s="1"/>
  <c r="BJ151"/>
  <c r="BF151"/>
  <c r="BD151"/>
  <c r="AW151"/>
  <c r="AP151"/>
  <c r="AX151" s="1"/>
  <c r="AO151"/>
  <c r="BH151" s="1"/>
  <c r="AD151" s="1"/>
  <c r="AL151"/>
  <c r="AJ151"/>
  <c r="AH151"/>
  <c r="AG151"/>
  <c r="AF151"/>
  <c r="AC151"/>
  <c r="AB151"/>
  <c r="Z151"/>
  <c r="H151"/>
  <c r="AK151" s="1"/>
  <c r="BJ150"/>
  <c r="BF150"/>
  <c r="BD150"/>
  <c r="AX150"/>
  <c r="AV150"/>
  <c r="AP150"/>
  <c r="BI150" s="1"/>
  <c r="AE150" s="1"/>
  <c r="AO150"/>
  <c r="AW150" s="1"/>
  <c r="BC150" s="1"/>
  <c r="AL150"/>
  <c r="AK150"/>
  <c r="AJ150"/>
  <c r="AH150"/>
  <c r="AG150"/>
  <c r="AF150"/>
  <c r="AC150"/>
  <c r="AB150"/>
  <c r="Z150"/>
  <c r="H150"/>
  <c r="BJ149"/>
  <c r="BF149"/>
  <c r="BD149"/>
  <c r="AW149"/>
  <c r="AP149"/>
  <c r="AX149" s="1"/>
  <c r="BC149" s="1"/>
  <c r="AO149"/>
  <c r="BH149" s="1"/>
  <c r="AD149" s="1"/>
  <c r="AL149"/>
  <c r="AJ149"/>
  <c r="AH149"/>
  <c r="AG149"/>
  <c r="AF149"/>
  <c r="AC149"/>
  <c r="AB149"/>
  <c r="Z149"/>
  <c r="H149"/>
  <c r="AK149" s="1"/>
  <c r="BJ148"/>
  <c r="BH148"/>
  <c r="BF148"/>
  <c r="BD148"/>
  <c r="AX148"/>
  <c r="AP148"/>
  <c r="BI148" s="1"/>
  <c r="AE148" s="1"/>
  <c r="AO148"/>
  <c r="AW148" s="1"/>
  <c r="AL148"/>
  <c r="AJ148"/>
  <c r="AH148"/>
  <c r="AG148"/>
  <c r="AF148"/>
  <c r="AD148"/>
  <c r="AC148"/>
  <c r="AB148"/>
  <c r="Z148"/>
  <c r="H148"/>
  <c r="BJ147"/>
  <c r="BF147"/>
  <c r="BD147"/>
  <c r="AW147"/>
  <c r="AP147"/>
  <c r="AX147" s="1"/>
  <c r="AO147"/>
  <c r="BH147" s="1"/>
  <c r="AD147" s="1"/>
  <c r="AL147"/>
  <c r="AJ147"/>
  <c r="AS145" s="1"/>
  <c r="AH147"/>
  <c r="AG147"/>
  <c r="AF147"/>
  <c r="AC147"/>
  <c r="AB147"/>
  <c r="Z147"/>
  <c r="H147"/>
  <c r="AK147" s="1"/>
  <c r="BJ146"/>
  <c r="BF146"/>
  <c r="BD146"/>
  <c r="AX146"/>
  <c r="AV146"/>
  <c r="AP146"/>
  <c r="BI146" s="1"/>
  <c r="AE146" s="1"/>
  <c r="AO146"/>
  <c r="AW146" s="1"/>
  <c r="BC146" s="1"/>
  <c r="AL146"/>
  <c r="AK146"/>
  <c r="AJ146"/>
  <c r="AH146"/>
  <c r="AG146"/>
  <c r="AF146"/>
  <c r="AC146"/>
  <c r="AB146"/>
  <c r="Z146"/>
  <c r="H146"/>
  <c r="BJ144"/>
  <c r="BF144"/>
  <c r="BD144"/>
  <c r="AW144"/>
  <c r="AP144"/>
  <c r="AX144" s="1"/>
  <c r="BC144" s="1"/>
  <c r="AO144"/>
  <c r="BH144" s="1"/>
  <c r="AL144"/>
  <c r="AJ144"/>
  <c r="AH144"/>
  <c r="AG144"/>
  <c r="AF144"/>
  <c r="AE144"/>
  <c r="AD144"/>
  <c r="AC144"/>
  <c r="AB144"/>
  <c r="Z144"/>
  <c r="H144"/>
  <c r="AK144" s="1"/>
  <c r="BJ143"/>
  <c r="BF143"/>
  <c r="BD143"/>
  <c r="AX143"/>
  <c r="AP143"/>
  <c r="BI143" s="1"/>
  <c r="AE143" s="1"/>
  <c r="AO143"/>
  <c r="AW143" s="1"/>
  <c r="AL143"/>
  <c r="AJ143"/>
  <c r="AH143"/>
  <c r="AG143"/>
  <c r="AF143"/>
  <c r="AC143"/>
  <c r="AB143"/>
  <c r="Z143"/>
  <c r="H143"/>
  <c r="AK143" s="1"/>
  <c r="BJ142"/>
  <c r="BF142"/>
  <c r="BD142"/>
  <c r="AW142"/>
  <c r="AP142"/>
  <c r="AX142" s="1"/>
  <c r="AO142"/>
  <c r="BH142" s="1"/>
  <c r="AD142" s="1"/>
  <c r="AL142"/>
  <c r="AJ142"/>
  <c r="AH142"/>
  <c r="AG142"/>
  <c r="AF142"/>
  <c r="AC142"/>
  <c r="AB142"/>
  <c r="Z142"/>
  <c r="H142"/>
  <c r="AK142" s="1"/>
  <c r="BJ141"/>
  <c r="BF141"/>
  <c r="BD141"/>
  <c r="AX141"/>
  <c r="AV141"/>
  <c r="AP141"/>
  <c r="BI141" s="1"/>
  <c r="AE141" s="1"/>
  <c r="AO141"/>
  <c r="AW141" s="1"/>
  <c r="BC141" s="1"/>
  <c r="AL141"/>
  <c r="AK141"/>
  <c r="AJ141"/>
  <c r="AH141"/>
  <c r="AG141"/>
  <c r="AF141"/>
  <c r="AC141"/>
  <c r="AB141"/>
  <c r="Z141"/>
  <c r="H141"/>
  <c r="BJ139"/>
  <c r="BF139"/>
  <c r="BD139"/>
  <c r="AW139"/>
  <c r="AP139"/>
  <c r="AX139" s="1"/>
  <c r="BC139" s="1"/>
  <c r="AO139"/>
  <c r="BH139" s="1"/>
  <c r="AD139" s="1"/>
  <c r="AL139"/>
  <c r="AJ139"/>
  <c r="AH139"/>
  <c r="AG139"/>
  <c r="AF139"/>
  <c r="AC139"/>
  <c r="AB139"/>
  <c r="Z139"/>
  <c r="H139"/>
  <c r="AK139" s="1"/>
  <c r="BJ138"/>
  <c r="BH138"/>
  <c r="BF138"/>
  <c r="BD138"/>
  <c r="AX138"/>
  <c r="AP138"/>
  <c r="BI138" s="1"/>
  <c r="AE138" s="1"/>
  <c r="AO138"/>
  <c r="AW138" s="1"/>
  <c r="AL138"/>
  <c r="AJ138"/>
  <c r="AH138"/>
  <c r="AG138"/>
  <c r="AF138"/>
  <c r="AD138"/>
  <c r="AC138"/>
  <c r="AB138"/>
  <c r="Z138"/>
  <c r="H138"/>
  <c r="AK138" s="1"/>
  <c r="BJ137"/>
  <c r="BF137"/>
  <c r="BD137"/>
  <c r="AW137"/>
  <c r="AP137"/>
  <c r="AX137" s="1"/>
  <c r="AO137"/>
  <c r="BH137" s="1"/>
  <c r="AD137" s="1"/>
  <c r="AL137"/>
  <c r="AJ137"/>
  <c r="AH137"/>
  <c r="AG137"/>
  <c r="AF137"/>
  <c r="AC137"/>
  <c r="AB137"/>
  <c r="Z137"/>
  <c r="H137"/>
  <c r="AK137" s="1"/>
  <c r="BJ136"/>
  <c r="BF136"/>
  <c r="BD136"/>
  <c r="AX136"/>
  <c r="AV136"/>
  <c r="AP136"/>
  <c r="BI136" s="1"/>
  <c r="AE136" s="1"/>
  <c r="AO136"/>
  <c r="AW136" s="1"/>
  <c r="BC136" s="1"/>
  <c r="AL136"/>
  <c r="AK136"/>
  <c r="AJ136"/>
  <c r="AH136"/>
  <c r="AG136"/>
  <c r="AF136"/>
  <c r="AC136"/>
  <c r="AB136"/>
  <c r="Z136"/>
  <c r="H136"/>
  <c r="BJ135"/>
  <c r="BI135"/>
  <c r="BF135"/>
  <c r="BD135"/>
  <c r="BC135"/>
  <c r="AW135"/>
  <c r="AV135" s="1"/>
  <c r="AP135"/>
  <c r="AX135" s="1"/>
  <c r="AO135"/>
  <c r="BH135" s="1"/>
  <c r="AD135" s="1"/>
  <c r="AL135"/>
  <c r="AJ135"/>
  <c r="AS133" s="1"/>
  <c r="AH135"/>
  <c r="AG135"/>
  <c r="AF135"/>
  <c r="AE135"/>
  <c r="AC135"/>
  <c r="AB135"/>
  <c r="Z135"/>
  <c r="H135"/>
  <c r="AK135" s="1"/>
  <c r="BJ134"/>
  <c r="BH134"/>
  <c r="AD134" s="1"/>
  <c r="BF134"/>
  <c r="BD134"/>
  <c r="AX134"/>
  <c r="AP134"/>
  <c r="BI134" s="1"/>
  <c r="AE134" s="1"/>
  <c r="AO134"/>
  <c r="AW134" s="1"/>
  <c r="AL134"/>
  <c r="AJ134"/>
  <c r="AH134"/>
  <c r="AG134"/>
  <c r="AF134"/>
  <c r="AC134"/>
  <c r="AB134"/>
  <c r="Z134"/>
  <c r="H134"/>
  <c r="AK134" s="1"/>
  <c r="H133"/>
  <c r="BJ132"/>
  <c r="BF132"/>
  <c r="BD132"/>
  <c r="AW132"/>
  <c r="AP132"/>
  <c r="AX132" s="1"/>
  <c r="AO132"/>
  <c r="BH132" s="1"/>
  <c r="AL132"/>
  <c r="AJ132"/>
  <c r="AH132"/>
  <c r="AG132"/>
  <c r="AF132"/>
  <c r="AE132"/>
  <c r="AD132"/>
  <c r="AC132"/>
  <c r="AB132"/>
  <c r="Z132"/>
  <c r="H132"/>
  <c r="AK132" s="1"/>
  <c r="BJ131"/>
  <c r="BF131"/>
  <c r="BD131"/>
  <c r="AX131"/>
  <c r="AP131"/>
  <c r="BI131" s="1"/>
  <c r="AE131" s="1"/>
  <c r="AO131"/>
  <c r="AW131" s="1"/>
  <c r="BC131" s="1"/>
  <c r="AL131"/>
  <c r="AK131"/>
  <c r="AJ131"/>
  <c r="AH131"/>
  <c r="AG131"/>
  <c r="AF131"/>
  <c r="AC131"/>
  <c r="AB131"/>
  <c r="Z131"/>
  <c r="H131"/>
  <c r="BJ130"/>
  <c r="BI130"/>
  <c r="BF130"/>
  <c r="BD130"/>
  <c r="AW130"/>
  <c r="AV130" s="1"/>
  <c r="AP130"/>
  <c r="AX130" s="1"/>
  <c r="BC130" s="1"/>
  <c r="AO130"/>
  <c r="BH130" s="1"/>
  <c r="AD130" s="1"/>
  <c r="AL130"/>
  <c r="AJ130"/>
  <c r="AH130"/>
  <c r="AG130"/>
  <c r="AF130"/>
  <c r="AE130"/>
  <c r="AC130"/>
  <c r="AB130"/>
  <c r="Z130"/>
  <c r="H130"/>
  <c r="AK130" s="1"/>
  <c r="BJ129"/>
  <c r="BH129"/>
  <c r="AF129" s="1"/>
  <c r="BF129"/>
  <c r="BD129"/>
  <c r="AX129"/>
  <c r="AP129"/>
  <c r="BI129" s="1"/>
  <c r="AG129" s="1"/>
  <c r="AO129"/>
  <c r="AW129" s="1"/>
  <c r="AL129"/>
  <c r="AJ129"/>
  <c r="AH129"/>
  <c r="AE129"/>
  <c r="AD129"/>
  <c r="AC129"/>
  <c r="AB129"/>
  <c r="Z129"/>
  <c r="H129"/>
  <c r="AK129" s="1"/>
  <c r="BJ128"/>
  <c r="BF128"/>
  <c r="BD128"/>
  <c r="AW128"/>
  <c r="AP128"/>
  <c r="AX128" s="1"/>
  <c r="AO128"/>
  <c r="BH128" s="1"/>
  <c r="AD128" s="1"/>
  <c r="AL128"/>
  <c r="AJ128"/>
  <c r="AH128"/>
  <c r="AG128"/>
  <c r="AF128"/>
  <c r="AC128"/>
  <c r="AB128"/>
  <c r="Z128"/>
  <c r="H128"/>
  <c r="AK128" s="1"/>
  <c r="BJ127"/>
  <c r="BF127"/>
  <c r="BD127"/>
  <c r="AX127"/>
  <c r="AV127"/>
  <c r="AP127"/>
  <c r="BI127" s="1"/>
  <c r="AE127" s="1"/>
  <c r="AO127"/>
  <c r="AW127" s="1"/>
  <c r="BC127" s="1"/>
  <c r="AL127"/>
  <c r="AK127"/>
  <c r="AJ127"/>
  <c r="AH127"/>
  <c r="AG127"/>
  <c r="AF127"/>
  <c r="AC127"/>
  <c r="AB127"/>
  <c r="Z127"/>
  <c r="H127"/>
  <c r="BJ126"/>
  <c r="BI126"/>
  <c r="BF126"/>
  <c r="BD126"/>
  <c r="BC126"/>
  <c r="AW126"/>
  <c r="AV126" s="1"/>
  <c r="AP126"/>
  <c r="AX126" s="1"/>
  <c r="AO126"/>
  <c r="BH126" s="1"/>
  <c r="AD126" s="1"/>
  <c r="AL126"/>
  <c r="AJ126"/>
  <c r="AH126"/>
  <c r="AG126"/>
  <c r="AF126"/>
  <c r="AE126"/>
  <c r="AC126"/>
  <c r="AB126"/>
  <c r="Z126"/>
  <c r="H126"/>
  <c r="AK126" s="1"/>
  <c r="BJ125"/>
  <c r="BH125"/>
  <c r="AD125" s="1"/>
  <c r="BF125"/>
  <c r="BD125"/>
  <c r="AX125"/>
  <c r="AP125"/>
  <c r="BI125" s="1"/>
  <c r="AE125" s="1"/>
  <c r="AO125"/>
  <c r="AW125" s="1"/>
  <c r="AL125"/>
  <c r="AJ125"/>
  <c r="AH125"/>
  <c r="AG125"/>
  <c r="AF125"/>
  <c r="AC125"/>
  <c r="AB125"/>
  <c r="Z125"/>
  <c r="H125"/>
  <c r="BJ124"/>
  <c r="BF124"/>
  <c r="BD124"/>
  <c r="AW124"/>
  <c r="AP124"/>
  <c r="AX124" s="1"/>
  <c r="AO124"/>
  <c r="BH124" s="1"/>
  <c r="AD124" s="1"/>
  <c r="AL124"/>
  <c r="AU122" s="1"/>
  <c r="AJ124"/>
  <c r="AH124"/>
  <c r="AG124"/>
  <c r="AF124"/>
  <c r="AC124"/>
  <c r="AB124"/>
  <c r="Z124"/>
  <c r="H124"/>
  <c r="AK124" s="1"/>
  <c r="BJ123"/>
  <c r="BF123"/>
  <c r="BD123"/>
  <c r="AX123"/>
  <c r="AP123"/>
  <c r="BI123" s="1"/>
  <c r="AE123" s="1"/>
  <c r="AO123"/>
  <c r="AW123" s="1"/>
  <c r="BC123" s="1"/>
  <c r="AL123"/>
  <c r="AK123"/>
  <c r="AJ123"/>
  <c r="AH123"/>
  <c r="AG123"/>
  <c r="AF123"/>
  <c r="AC123"/>
  <c r="AB123"/>
  <c r="Z123"/>
  <c r="H123"/>
  <c r="BJ121"/>
  <c r="BI121"/>
  <c r="BF121"/>
  <c r="BD121"/>
  <c r="BC121"/>
  <c r="AW121"/>
  <c r="AV121" s="1"/>
  <c r="AP121"/>
  <c r="AX121" s="1"/>
  <c r="AO121"/>
  <c r="BH121" s="1"/>
  <c r="AL121"/>
  <c r="AJ121"/>
  <c r="AH121"/>
  <c r="AG121"/>
  <c r="AF121"/>
  <c r="AE121"/>
  <c r="AD121"/>
  <c r="AC121"/>
  <c r="AB121"/>
  <c r="Z121"/>
  <c r="H121"/>
  <c r="AK121" s="1"/>
  <c r="BJ117"/>
  <c r="BH117"/>
  <c r="BF117"/>
  <c r="BD117"/>
  <c r="AX117"/>
  <c r="AP117"/>
  <c r="BI117" s="1"/>
  <c r="AE117" s="1"/>
  <c r="AO117"/>
  <c r="AW117" s="1"/>
  <c r="AL117"/>
  <c r="AJ117"/>
  <c r="AH117"/>
  <c r="AG117"/>
  <c r="AF117"/>
  <c r="AD117"/>
  <c r="AC117"/>
  <c r="AB117"/>
  <c r="Z117"/>
  <c r="H117"/>
  <c r="BJ112"/>
  <c r="BF112"/>
  <c r="BD112"/>
  <c r="AW112"/>
  <c r="AP112"/>
  <c r="AX112" s="1"/>
  <c r="AO112"/>
  <c r="BH112" s="1"/>
  <c r="AD112" s="1"/>
  <c r="AL112"/>
  <c r="AU110" s="1"/>
  <c r="AJ112"/>
  <c r="AS110" s="1"/>
  <c r="AH112"/>
  <c r="AG112"/>
  <c r="AF112"/>
  <c r="AC112"/>
  <c r="AB112"/>
  <c r="Z112"/>
  <c r="H112"/>
  <c r="AK112" s="1"/>
  <c r="BJ111"/>
  <c r="BF111"/>
  <c r="BD111"/>
  <c r="AX111"/>
  <c r="AV111"/>
  <c r="AP111"/>
  <c r="BI111" s="1"/>
  <c r="AE111" s="1"/>
  <c r="AO111"/>
  <c r="AW111" s="1"/>
  <c r="BC111" s="1"/>
  <c r="AL111"/>
  <c r="AK111"/>
  <c r="AJ111"/>
  <c r="AH111"/>
  <c r="AG111"/>
  <c r="AF111"/>
  <c r="AC111"/>
  <c r="AB111"/>
  <c r="Z111"/>
  <c r="H111"/>
  <c r="BJ109"/>
  <c r="BF109"/>
  <c r="BD109"/>
  <c r="AW109"/>
  <c r="AP109"/>
  <c r="AX109" s="1"/>
  <c r="BC109" s="1"/>
  <c r="AO109"/>
  <c r="BH109" s="1"/>
  <c r="AL109"/>
  <c r="AJ109"/>
  <c r="AH109"/>
  <c r="AG109"/>
  <c r="AF109"/>
  <c r="AE109"/>
  <c r="AD109"/>
  <c r="AC109"/>
  <c r="AB109"/>
  <c r="Z109"/>
  <c r="H109"/>
  <c r="AK109" s="1"/>
  <c r="AT108" s="1"/>
  <c r="AU108"/>
  <c r="AS108"/>
  <c r="H108"/>
  <c r="BJ105"/>
  <c r="Z105" s="1"/>
  <c r="BH105"/>
  <c r="BF105"/>
  <c r="BD105"/>
  <c r="AX105"/>
  <c r="AV105" s="1"/>
  <c r="AP105"/>
  <c r="BI105" s="1"/>
  <c r="AO105"/>
  <c r="AW105" s="1"/>
  <c r="AL105"/>
  <c r="AK105"/>
  <c r="AJ105"/>
  <c r="AH105"/>
  <c r="AG105"/>
  <c r="AF105"/>
  <c r="AE105"/>
  <c r="AD105"/>
  <c r="AC105"/>
  <c r="AB105"/>
  <c r="H105"/>
  <c r="BJ103"/>
  <c r="BI103"/>
  <c r="BF103"/>
  <c r="BD103"/>
  <c r="AW103"/>
  <c r="AV103" s="1"/>
  <c r="AP103"/>
  <c r="AX103" s="1"/>
  <c r="AO103"/>
  <c r="BH103" s="1"/>
  <c r="AL103"/>
  <c r="AJ103"/>
  <c r="AH103"/>
  <c r="AG103"/>
  <c r="AF103"/>
  <c r="AE103"/>
  <c r="AD103"/>
  <c r="AC103"/>
  <c r="AB103"/>
  <c r="Z103"/>
  <c r="H103"/>
  <c r="AK103" s="1"/>
  <c r="BJ101"/>
  <c r="Z101" s="1"/>
  <c r="BF101"/>
  <c r="BD101"/>
  <c r="AX101"/>
  <c r="AP101"/>
  <c r="BI101" s="1"/>
  <c r="AO101"/>
  <c r="AW101" s="1"/>
  <c r="BC101" s="1"/>
  <c r="AL101"/>
  <c r="AJ101"/>
  <c r="AH101"/>
  <c r="AG101"/>
  <c r="AF101"/>
  <c r="AE101"/>
  <c r="AD101"/>
  <c r="AC101"/>
  <c r="AB101"/>
  <c r="H101"/>
  <c r="AK101" s="1"/>
  <c r="BJ100"/>
  <c r="BI100"/>
  <c r="BF100"/>
  <c r="BD100"/>
  <c r="BC100"/>
  <c r="AW100"/>
  <c r="AV100" s="1"/>
  <c r="AP100"/>
  <c r="AX100" s="1"/>
  <c r="AO100"/>
  <c r="BH100" s="1"/>
  <c r="AL100"/>
  <c r="AJ100"/>
  <c r="AH100"/>
  <c r="AG100"/>
  <c r="AF100"/>
  <c r="AE100"/>
  <c r="AD100"/>
  <c r="AC100"/>
  <c r="AB100"/>
  <c r="Z100"/>
  <c r="H100"/>
  <c r="AK100" s="1"/>
  <c r="BJ98"/>
  <c r="Z98" s="1"/>
  <c r="BH98"/>
  <c r="BF98"/>
  <c r="BD98"/>
  <c r="AX98"/>
  <c r="AV98" s="1"/>
  <c r="AP98"/>
  <c r="BI98" s="1"/>
  <c r="AO98"/>
  <c r="AW98" s="1"/>
  <c r="AL98"/>
  <c r="AK98"/>
  <c r="AJ98"/>
  <c r="AH98"/>
  <c r="AG98"/>
  <c r="AF98"/>
  <c r="AE98"/>
  <c r="AD98"/>
  <c r="AC98"/>
  <c r="AB98"/>
  <c r="H98"/>
  <c r="BJ97"/>
  <c r="BI97"/>
  <c r="BF97"/>
  <c r="BD97"/>
  <c r="AW97"/>
  <c r="AV97" s="1"/>
  <c r="AP97"/>
  <c r="AX97" s="1"/>
  <c r="AO97"/>
  <c r="BH97" s="1"/>
  <c r="AL97"/>
  <c r="AJ97"/>
  <c r="AH97"/>
  <c r="AG97"/>
  <c r="AF97"/>
  <c r="AE97"/>
  <c r="AD97"/>
  <c r="AC97"/>
  <c r="AB97"/>
  <c r="Z97"/>
  <c r="H97"/>
  <c r="AK97" s="1"/>
  <c r="BJ96"/>
  <c r="Z96" s="1"/>
  <c r="BF96"/>
  <c r="BD96"/>
  <c r="AX96"/>
  <c r="AP96"/>
  <c r="BI96" s="1"/>
  <c r="AO96"/>
  <c r="AW96" s="1"/>
  <c r="BC96" s="1"/>
  <c r="AL96"/>
  <c r="AJ96"/>
  <c r="AH96"/>
  <c r="AG96"/>
  <c r="AF96"/>
  <c r="AE96"/>
  <c r="AD96"/>
  <c r="AC96"/>
  <c r="AB96"/>
  <c r="H96"/>
  <c r="AK96" s="1"/>
  <c r="AT86" s="1"/>
  <c r="BJ94"/>
  <c r="BI94"/>
  <c r="BF94"/>
  <c r="BD94"/>
  <c r="BC94"/>
  <c r="AW94"/>
  <c r="AV94" s="1"/>
  <c r="AP94"/>
  <c r="AX94" s="1"/>
  <c r="AO94"/>
  <c r="BH94" s="1"/>
  <c r="AB94" s="1"/>
  <c r="AL94"/>
  <c r="AJ94"/>
  <c r="AH94"/>
  <c r="AG94"/>
  <c r="AF94"/>
  <c r="AE94"/>
  <c r="AD94"/>
  <c r="AC94"/>
  <c r="Z94"/>
  <c r="H94"/>
  <c r="AK94" s="1"/>
  <c r="BJ92"/>
  <c r="BH92"/>
  <c r="AB92" s="1"/>
  <c r="BF92"/>
  <c r="BD92"/>
  <c r="AX92"/>
  <c r="AV92"/>
  <c r="AP92"/>
  <c r="BI92" s="1"/>
  <c r="AC92" s="1"/>
  <c r="AO92"/>
  <c r="AW92" s="1"/>
  <c r="BC92" s="1"/>
  <c r="AL92"/>
  <c r="AK92"/>
  <c r="AJ92"/>
  <c r="AH92"/>
  <c r="AG92"/>
  <c r="AF92"/>
  <c r="AE92"/>
  <c r="AD92"/>
  <c r="Z92"/>
  <c r="H92"/>
  <c r="BJ90"/>
  <c r="BF90"/>
  <c r="BD90"/>
  <c r="AW90"/>
  <c r="AP90"/>
  <c r="AX90" s="1"/>
  <c r="BC90" s="1"/>
  <c r="AO90"/>
  <c r="BH90" s="1"/>
  <c r="AB90" s="1"/>
  <c r="AL90"/>
  <c r="AJ90"/>
  <c r="AH90"/>
  <c r="AG90"/>
  <c r="AF90"/>
  <c r="AE90"/>
  <c r="AD90"/>
  <c r="Z90"/>
  <c r="H90"/>
  <c r="AK90" s="1"/>
  <c r="BJ89"/>
  <c r="BH89"/>
  <c r="BF89"/>
  <c r="BD89"/>
  <c r="AX89"/>
  <c r="AV89" s="1"/>
  <c r="AP89"/>
  <c r="BI89" s="1"/>
  <c r="AC89" s="1"/>
  <c r="AO89"/>
  <c r="AW89" s="1"/>
  <c r="AL89"/>
  <c r="AK89"/>
  <c r="AJ89"/>
  <c r="AH89"/>
  <c r="AG89"/>
  <c r="AF89"/>
  <c r="AE89"/>
  <c r="AD89"/>
  <c r="AB89"/>
  <c r="Z89"/>
  <c r="H89"/>
  <c r="BJ88"/>
  <c r="BI88"/>
  <c r="AC88" s="1"/>
  <c r="BF88"/>
  <c r="BD88"/>
  <c r="AW88"/>
  <c r="AV88" s="1"/>
  <c r="AP88"/>
  <c r="AX88" s="1"/>
  <c r="AO88"/>
  <c r="BH88" s="1"/>
  <c r="AB88" s="1"/>
  <c r="AL88"/>
  <c r="AJ88"/>
  <c r="AS86" s="1"/>
  <c r="AH88"/>
  <c r="AG88"/>
  <c r="AF88"/>
  <c r="AE88"/>
  <c r="AD88"/>
  <c r="Z88"/>
  <c r="H88"/>
  <c r="AK88" s="1"/>
  <c r="BJ87"/>
  <c r="BF87"/>
  <c r="BD87"/>
  <c r="AX87"/>
  <c r="AP87"/>
  <c r="BI87" s="1"/>
  <c r="AC87" s="1"/>
  <c r="AO87"/>
  <c r="AW87" s="1"/>
  <c r="BC87" s="1"/>
  <c r="AL87"/>
  <c r="AK87"/>
  <c r="AJ87"/>
  <c r="AH87"/>
  <c r="AG87"/>
  <c r="AF87"/>
  <c r="AE87"/>
  <c r="AD87"/>
  <c r="Z87"/>
  <c r="H87"/>
  <c r="BJ85"/>
  <c r="BF85"/>
  <c r="BD85"/>
  <c r="AW85"/>
  <c r="AP85"/>
  <c r="AX85" s="1"/>
  <c r="BC85" s="1"/>
  <c r="AO85"/>
  <c r="BH85" s="1"/>
  <c r="AB85" s="1"/>
  <c r="AL85"/>
  <c r="AJ85"/>
  <c r="AH85"/>
  <c r="AG85"/>
  <c r="AF85"/>
  <c r="AE85"/>
  <c r="AD85"/>
  <c r="Z85"/>
  <c r="H85"/>
  <c r="AK85" s="1"/>
  <c r="BJ83"/>
  <c r="BH83"/>
  <c r="BF83"/>
  <c r="BD83"/>
  <c r="AX83"/>
  <c r="AV83" s="1"/>
  <c r="AP83"/>
  <c r="BI83" s="1"/>
  <c r="AC83" s="1"/>
  <c r="AO83"/>
  <c r="AW83" s="1"/>
  <c r="AL83"/>
  <c r="AK83"/>
  <c r="AJ83"/>
  <c r="AH83"/>
  <c r="AG83"/>
  <c r="AF83"/>
  <c r="AE83"/>
  <c r="AD83"/>
  <c r="AB83"/>
  <c r="Z83"/>
  <c r="H83"/>
  <c r="BJ81"/>
  <c r="BI81"/>
  <c r="AC81" s="1"/>
  <c r="BF81"/>
  <c r="BD81"/>
  <c r="AW81"/>
  <c r="AV81" s="1"/>
  <c r="AP81"/>
  <c r="AX81" s="1"/>
  <c r="AO81"/>
  <c r="BH81" s="1"/>
  <c r="AB81" s="1"/>
  <c r="AL81"/>
  <c r="AJ81"/>
  <c r="AH81"/>
  <c r="AG81"/>
  <c r="AF81"/>
  <c r="AE81"/>
  <c r="AD81"/>
  <c r="Z81"/>
  <c r="H81"/>
  <c r="AK81" s="1"/>
  <c r="BJ80"/>
  <c r="BF80"/>
  <c r="BD80"/>
  <c r="AX80"/>
  <c r="AP80"/>
  <c r="BI80" s="1"/>
  <c r="AC80" s="1"/>
  <c r="AO80"/>
  <c r="AW80" s="1"/>
  <c r="BC80" s="1"/>
  <c r="AL80"/>
  <c r="AJ80"/>
  <c r="AH80"/>
  <c r="AG80"/>
  <c r="AF80"/>
  <c r="AE80"/>
  <c r="AD80"/>
  <c r="Z80"/>
  <c r="H80"/>
  <c r="H77" s="1"/>
  <c r="BJ78"/>
  <c r="BI78"/>
  <c r="AC78" s="1"/>
  <c r="BF78"/>
  <c r="BD78"/>
  <c r="BC78"/>
  <c r="AW78"/>
  <c r="AV78" s="1"/>
  <c r="AP78"/>
  <c r="AX78" s="1"/>
  <c r="AO78"/>
  <c r="BH78" s="1"/>
  <c r="AB78" s="1"/>
  <c r="AL78"/>
  <c r="AU77" s="1"/>
  <c r="AJ78"/>
  <c r="AS77" s="1"/>
  <c r="AH78"/>
  <c r="AG78"/>
  <c r="AF78"/>
  <c r="AE78"/>
  <c r="AD78"/>
  <c r="Z78"/>
  <c r="H78"/>
  <c r="AK78" s="1"/>
  <c r="BJ76"/>
  <c r="BH76"/>
  <c r="BF76"/>
  <c r="BD76"/>
  <c r="AX76"/>
  <c r="AV76" s="1"/>
  <c r="AP76"/>
  <c r="BI76" s="1"/>
  <c r="AC76" s="1"/>
  <c r="AO76"/>
  <c r="AW76" s="1"/>
  <c r="AL76"/>
  <c r="AK76"/>
  <c r="AJ76"/>
  <c r="AH76"/>
  <c r="AG76"/>
  <c r="AF76"/>
  <c r="AE76"/>
  <c r="AD76"/>
  <c r="AB76"/>
  <c r="Z76"/>
  <c r="H76"/>
  <c r="BJ73"/>
  <c r="BI73"/>
  <c r="AC73" s="1"/>
  <c r="BF73"/>
  <c r="BD73"/>
  <c r="AW73"/>
  <c r="AV73" s="1"/>
  <c r="AP73"/>
  <c r="AX73" s="1"/>
  <c r="AO73"/>
  <c r="BH73" s="1"/>
  <c r="AB73" s="1"/>
  <c r="AL73"/>
  <c r="AU70" s="1"/>
  <c r="AJ73"/>
  <c r="AS70" s="1"/>
  <c r="AH73"/>
  <c r="AG73"/>
  <c r="AF73"/>
  <c r="AE73"/>
  <c r="AD73"/>
  <c r="Z73"/>
  <c r="H73"/>
  <c r="AK73" s="1"/>
  <c r="BJ71"/>
  <c r="BF71"/>
  <c r="BD71"/>
  <c r="AX71"/>
  <c r="AP71"/>
  <c r="BI71" s="1"/>
  <c r="AC71" s="1"/>
  <c r="AO71"/>
  <c r="AW71" s="1"/>
  <c r="BC71" s="1"/>
  <c r="AL71"/>
  <c r="AJ71"/>
  <c r="AH71"/>
  <c r="AG71"/>
  <c r="AF71"/>
  <c r="AE71"/>
  <c r="AD71"/>
  <c r="Z71"/>
  <c r="H71"/>
  <c r="AK71" s="1"/>
  <c r="AT70" s="1"/>
  <c r="H70"/>
  <c r="BJ67"/>
  <c r="BF67"/>
  <c r="BD67"/>
  <c r="AW67"/>
  <c r="BC67" s="1"/>
  <c r="AP67"/>
  <c r="AX67" s="1"/>
  <c r="AO67"/>
  <c r="BH67" s="1"/>
  <c r="AB67" s="1"/>
  <c r="AL67"/>
  <c r="AJ67"/>
  <c r="AH67"/>
  <c r="AG67"/>
  <c r="AF67"/>
  <c r="AE67"/>
  <c r="AD67"/>
  <c r="Z67"/>
  <c r="H67"/>
  <c r="AK67" s="1"/>
  <c r="BJ62"/>
  <c r="BH62"/>
  <c r="BF62"/>
  <c r="BD62"/>
  <c r="AX62"/>
  <c r="AV62" s="1"/>
  <c r="AP62"/>
  <c r="BI62" s="1"/>
  <c r="AC62" s="1"/>
  <c r="AO62"/>
  <c r="AW62" s="1"/>
  <c r="AL62"/>
  <c r="AK62"/>
  <c r="AJ62"/>
  <c r="AH62"/>
  <c r="AG62"/>
  <c r="AF62"/>
  <c r="AE62"/>
  <c r="AD62"/>
  <c r="AB62"/>
  <c r="Z62"/>
  <c r="H62"/>
  <c r="BJ59"/>
  <c r="BF59"/>
  <c r="BD59"/>
  <c r="AP59"/>
  <c r="BI59" s="1"/>
  <c r="AC59" s="1"/>
  <c r="AO59"/>
  <c r="AW59" s="1"/>
  <c r="AL59"/>
  <c r="AJ59"/>
  <c r="AH59"/>
  <c r="AG59"/>
  <c r="AF59"/>
  <c r="AE59"/>
  <c r="AD59"/>
  <c r="Z59"/>
  <c r="H59"/>
  <c r="AK59" s="1"/>
  <c r="BJ51"/>
  <c r="BF51"/>
  <c r="BD51"/>
  <c r="AX51"/>
  <c r="AP51"/>
  <c r="BI51" s="1"/>
  <c r="AC51" s="1"/>
  <c r="AO51"/>
  <c r="AW51" s="1"/>
  <c r="AL51"/>
  <c r="AJ51"/>
  <c r="AH51"/>
  <c r="AG51"/>
  <c r="AF51"/>
  <c r="AE51"/>
  <c r="AD51"/>
  <c r="Z51"/>
  <c r="H51"/>
  <c r="AK51" s="1"/>
  <c r="BJ46"/>
  <c r="BF46"/>
  <c r="BD46"/>
  <c r="AX46"/>
  <c r="AW46"/>
  <c r="BC46" s="1"/>
  <c r="AP46"/>
  <c r="BI46" s="1"/>
  <c r="AC46" s="1"/>
  <c r="AO46"/>
  <c r="BH46" s="1"/>
  <c r="AB46" s="1"/>
  <c r="AL46"/>
  <c r="AK46"/>
  <c r="AJ46"/>
  <c r="AH46"/>
  <c r="AG46"/>
  <c r="AF46"/>
  <c r="AE46"/>
  <c r="AD46"/>
  <c r="Z46"/>
  <c r="H46"/>
  <c r="BJ44"/>
  <c r="BF44"/>
  <c r="BD44"/>
  <c r="AW44"/>
  <c r="AP44"/>
  <c r="BI44" s="1"/>
  <c r="AC44" s="1"/>
  <c r="AO44"/>
  <c r="BH44" s="1"/>
  <c r="AB44" s="1"/>
  <c r="AL44"/>
  <c r="AK44"/>
  <c r="AJ44"/>
  <c r="AH44"/>
  <c r="AG44"/>
  <c r="AF44"/>
  <c r="AE44"/>
  <c r="AD44"/>
  <c r="Z44"/>
  <c r="H44"/>
  <c r="BJ37"/>
  <c r="BF37"/>
  <c r="BD37"/>
  <c r="AP37"/>
  <c r="AX37" s="1"/>
  <c r="AO37"/>
  <c r="BH37" s="1"/>
  <c r="AB37" s="1"/>
  <c r="AL37"/>
  <c r="AJ37"/>
  <c r="AH37"/>
  <c r="AG37"/>
  <c r="AF37"/>
  <c r="AE37"/>
  <c r="AD37"/>
  <c r="Z37"/>
  <c r="H37"/>
  <c r="AK37" s="1"/>
  <c r="BJ36"/>
  <c r="BF36"/>
  <c r="BD36"/>
  <c r="AX36"/>
  <c r="AP36"/>
  <c r="BI36" s="1"/>
  <c r="AC36" s="1"/>
  <c r="AO36"/>
  <c r="AW36" s="1"/>
  <c r="AL36"/>
  <c r="AJ36"/>
  <c r="AH36"/>
  <c r="AG36"/>
  <c r="AF36"/>
  <c r="AE36"/>
  <c r="AD36"/>
  <c r="Z36"/>
  <c r="H36"/>
  <c r="AK36" s="1"/>
  <c r="BJ34"/>
  <c r="BF34"/>
  <c r="BD34"/>
  <c r="AX34"/>
  <c r="AW34"/>
  <c r="BC34" s="1"/>
  <c r="AP34"/>
  <c r="BI34" s="1"/>
  <c r="AC34" s="1"/>
  <c r="AO34"/>
  <c r="BH34" s="1"/>
  <c r="AB34" s="1"/>
  <c r="AL34"/>
  <c r="AU30" s="1"/>
  <c r="AK34"/>
  <c r="AJ34"/>
  <c r="AH34"/>
  <c r="AG34"/>
  <c r="AF34"/>
  <c r="AE34"/>
  <c r="AD34"/>
  <c r="Z34"/>
  <c r="H34"/>
  <c r="BJ32"/>
  <c r="BF32"/>
  <c r="BD32"/>
  <c r="AW32"/>
  <c r="AP32"/>
  <c r="BI32" s="1"/>
  <c r="AC32" s="1"/>
  <c r="AO32"/>
  <c r="BH32" s="1"/>
  <c r="AB32" s="1"/>
  <c r="AL32"/>
  <c r="AK32"/>
  <c r="AJ32"/>
  <c r="AH32"/>
  <c r="AG32"/>
  <c r="AF32"/>
  <c r="AE32"/>
  <c r="AD32"/>
  <c r="Z32"/>
  <c r="H32"/>
  <c r="BJ31"/>
  <c r="BF31"/>
  <c r="BD31"/>
  <c r="AP31"/>
  <c r="BI31" s="1"/>
  <c r="AC31" s="1"/>
  <c r="AO31"/>
  <c r="AW31" s="1"/>
  <c r="AL31"/>
  <c r="AJ31"/>
  <c r="AH31"/>
  <c r="AG31"/>
  <c r="AF31"/>
  <c r="AE31"/>
  <c r="AD31"/>
  <c r="Z31"/>
  <c r="H31"/>
  <c r="AK31" s="1"/>
  <c r="AT30" s="1"/>
  <c r="AS30"/>
  <c r="BJ28"/>
  <c r="BF28"/>
  <c r="BD28"/>
  <c r="AX28"/>
  <c r="AP28"/>
  <c r="BI28" s="1"/>
  <c r="AC28" s="1"/>
  <c r="AO28"/>
  <c r="AW28" s="1"/>
  <c r="AL28"/>
  <c r="AJ28"/>
  <c r="AH28"/>
  <c r="AG28"/>
  <c r="AF28"/>
  <c r="AE28"/>
  <c r="AD28"/>
  <c r="Z28"/>
  <c r="H28"/>
  <c r="AK28" s="1"/>
  <c r="BJ25"/>
  <c r="BF25"/>
  <c r="BD25"/>
  <c r="AW25"/>
  <c r="BC25" s="1"/>
  <c r="AP25"/>
  <c r="AX25" s="1"/>
  <c r="AO25"/>
  <c r="BH25" s="1"/>
  <c r="AB25" s="1"/>
  <c r="AL25"/>
  <c r="AK25"/>
  <c r="AJ25"/>
  <c r="AH25"/>
  <c r="AG25"/>
  <c r="AF25"/>
  <c r="AE25"/>
  <c r="AD25"/>
  <c r="Z25"/>
  <c r="H25"/>
  <c r="BJ23"/>
  <c r="BF23"/>
  <c r="BD23"/>
  <c r="AP23"/>
  <c r="BI23" s="1"/>
  <c r="AC23" s="1"/>
  <c r="AO23"/>
  <c r="AW23" s="1"/>
  <c r="AL23"/>
  <c r="AK23"/>
  <c r="AJ23"/>
  <c r="AH23"/>
  <c r="AG23"/>
  <c r="AF23"/>
  <c r="AE23"/>
  <c r="AD23"/>
  <c r="Z23"/>
  <c r="H23"/>
  <c r="BJ20"/>
  <c r="BF20"/>
  <c r="BD20"/>
  <c r="AP20"/>
  <c r="AX20" s="1"/>
  <c r="AO20"/>
  <c r="BH20" s="1"/>
  <c r="AB20" s="1"/>
  <c r="AL20"/>
  <c r="AJ20"/>
  <c r="AS13" s="1"/>
  <c r="AH20"/>
  <c r="AG20"/>
  <c r="AF20"/>
  <c r="AE20"/>
  <c r="AD20"/>
  <c r="Z20"/>
  <c r="H20"/>
  <c r="AK20" s="1"/>
  <c r="BJ18"/>
  <c r="BF18"/>
  <c r="BD18"/>
  <c r="AX18"/>
  <c r="AP18"/>
  <c r="BI18" s="1"/>
  <c r="AC18" s="1"/>
  <c r="AO18"/>
  <c r="AW18" s="1"/>
  <c r="AL18"/>
  <c r="AJ18"/>
  <c r="AH18"/>
  <c r="C20" i="1" s="1"/>
  <c r="AG18" i="3"/>
  <c r="AF18"/>
  <c r="AE18"/>
  <c r="AD18"/>
  <c r="Z18"/>
  <c r="H18"/>
  <c r="AK18" s="1"/>
  <c r="BJ16"/>
  <c r="BF16"/>
  <c r="BD16"/>
  <c r="AW16"/>
  <c r="BC16" s="1"/>
  <c r="AP16"/>
  <c r="AX16" s="1"/>
  <c r="AO16"/>
  <c r="BH16" s="1"/>
  <c r="AB16" s="1"/>
  <c r="AL16"/>
  <c r="AU13" s="1"/>
  <c r="AK16"/>
  <c r="AJ16"/>
  <c r="AH16"/>
  <c r="AG16"/>
  <c r="AF16"/>
  <c r="AE16"/>
  <c r="AD16"/>
  <c r="Z16"/>
  <c r="H16"/>
  <c r="BJ14"/>
  <c r="BF14"/>
  <c r="BD14"/>
  <c r="AP14"/>
  <c r="BI14" s="1"/>
  <c r="AC14" s="1"/>
  <c r="AO14"/>
  <c r="AW14" s="1"/>
  <c r="AL14"/>
  <c r="AK14"/>
  <c r="AJ14"/>
  <c r="AH14"/>
  <c r="AG14"/>
  <c r="AF14"/>
  <c r="AE14"/>
  <c r="AD14"/>
  <c r="Z14"/>
  <c r="C21" i="1" s="1"/>
  <c r="H14" i="3"/>
  <c r="AU1"/>
  <c r="AT1"/>
  <c r="AS1"/>
  <c r="I44" i="2"/>
  <c r="F44"/>
  <c r="F43"/>
  <c r="I43" s="1"/>
  <c r="I42"/>
  <c r="F42"/>
  <c r="F41"/>
  <c r="I41" s="1"/>
  <c r="I40"/>
  <c r="F40"/>
  <c r="F39"/>
  <c r="I39" s="1"/>
  <c r="I38"/>
  <c r="F38"/>
  <c r="F37"/>
  <c r="I37" s="1"/>
  <c r="I36"/>
  <c r="F36"/>
  <c r="F35"/>
  <c r="I35" s="1"/>
  <c r="I26"/>
  <c r="I25"/>
  <c r="I18" i="1" s="1"/>
  <c r="I24" i="2"/>
  <c r="I23"/>
  <c r="I16" i="1" s="1"/>
  <c r="I22" i="2"/>
  <c r="I21"/>
  <c r="I18"/>
  <c r="I17"/>
  <c r="F16" i="1" s="1"/>
  <c r="F22" s="1"/>
  <c r="I16" i="2"/>
  <c r="I15"/>
  <c r="I10"/>
  <c r="F10"/>
  <c r="C10"/>
  <c r="F8"/>
  <c r="C8"/>
  <c r="F6"/>
  <c r="C6"/>
  <c r="F4"/>
  <c r="C4"/>
  <c r="F2"/>
  <c r="C2"/>
  <c r="I19" i="1"/>
  <c r="I17"/>
  <c r="I15"/>
  <c r="F15"/>
  <c r="I14"/>
  <c r="F14"/>
  <c r="I10"/>
  <c r="F10"/>
  <c r="C10"/>
  <c r="F8"/>
  <c r="C8"/>
  <c r="F6"/>
  <c r="C6"/>
  <c r="F4"/>
  <c r="C4"/>
  <c r="F2"/>
  <c r="C2"/>
  <c r="BC14" i="3" l="1"/>
  <c r="AV14"/>
  <c r="BC51"/>
  <c r="AV51"/>
  <c r="C17" i="1"/>
  <c r="AT13" i="3"/>
  <c r="BC36"/>
  <c r="AV36"/>
  <c r="BC18"/>
  <c r="AV18"/>
  <c r="BC28"/>
  <c r="AV28"/>
  <c r="AV31"/>
  <c r="AV59"/>
  <c r="BC59"/>
  <c r="I45" i="2"/>
  <c r="I24" i="1" s="1"/>
  <c r="I22"/>
  <c r="BC112" i="3"/>
  <c r="AV112"/>
  <c r="AK117"/>
  <c r="AT110" s="1"/>
  <c r="H110"/>
  <c r="BC132"/>
  <c r="AV132"/>
  <c r="BC147"/>
  <c r="AV147"/>
  <c r="AK148"/>
  <c r="AT145" s="1"/>
  <c r="H145"/>
  <c r="BC165"/>
  <c r="AV165"/>
  <c r="AV181"/>
  <c r="BC181"/>
  <c r="AV245"/>
  <c r="BC245"/>
  <c r="BC264"/>
  <c r="AV264"/>
  <c r="BC125"/>
  <c r="AV125"/>
  <c r="BC134"/>
  <c r="AV134"/>
  <c r="BC151"/>
  <c r="AV151"/>
  <c r="AV222"/>
  <c r="BC222"/>
  <c r="AV228"/>
  <c r="BC228"/>
  <c r="BC117"/>
  <c r="AV117"/>
  <c r="BC138"/>
  <c r="AV138"/>
  <c r="BC148"/>
  <c r="AV148"/>
  <c r="BC156"/>
  <c r="AV156"/>
  <c r="AV171"/>
  <c r="BC171"/>
  <c r="AV198"/>
  <c r="BC198"/>
  <c r="AV207"/>
  <c r="BC207"/>
  <c r="AV236"/>
  <c r="BC236"/>
  <c r="AV252"/>
  <c r="BC252"/>
  <c r="BH18"/>
  <c r="AB18" s="1"/>
  <c r="BI20"/>
  <c r="AC20" s="1"/>
  <c r="BH28"/>
  <c r="AB28" s="1"/>
  <c r="BH36"/>
  <c r="AB36" s="1"/>
  <c r="BI37"/>
  <c r="AC37" s="1"/>
  <c r="BH51"/>
  <c r="AB51" s="1"/>
  <c r="BC262"/>
  <c r="C27" i="1"/>
  <c r="I27" i="2"/>
  <c r="F29" s="1"/>
  <c r="AV16" i="3"/>
  <c r="AV25"/>
  <c r="AX31"/>
  <c r="BC31" s="1"/>
  <c r="BH31"/>
  <c r="AB31" s="1"/>
  <c r="AV34"/>
  <c r="AV46"/>
  <c r="AX59"/>
  <c r="BH59"/>
  <c r="AB59" s="1"/>
  <c r="H86"/>
  <c r="AU133"/>
  <c r="BC250"/>
  <c r="H13"/>
  <c r="AX14"/>
  <c r="BH14"/>
  <c r="AB14" s="1"/>
  <c r="BI16"/>
  <c r="AC16" s="1"/>
  <c r="C15" i="1" s="1"/>
  <c r="AW20" i="3"/>
  <c r="AX23"/>
  <c r="AV23" s="1"/>
  <c r="BH23"/>
  <c r="AB23" s="1"/>
  <c r="BI25"/>
  <c r="AC25" s="1"/>
  <c r="AX32"/>
  <c r="AW37"/>
  <c r="AX44"/>
  <c r="AV71"/>
  <c r="BH71"/>
  <c r="AB71" s="1"/>
  <c r="AK80"/>
  <c r="C28" i="1" s="1"/>
  <c r="F28" s="1"/>
  <c r="AV80" i="3"/>
  <c r="BH80"/>
  <c r="AB80" s="1"/>
  <c r="AV87"/>
  <c r="BH87"/>
  <c r="AB87" s="1"/>
  <c r="AV131"/>
  <c r="BH143"/>
  <c r="AD143" s="1"/>
  <c r="AV155"/>
  <c r="BI162"/>
  <c r="AE162" s="1"/>
  <c r="BI166"/>
  <c r="AE166" s="1"/>
  <c r="BC176"/>
  <c r="AV187"/>
  <c r="AV192"/>
  <c r="BC227"/>
  <c r="AV229"/>
  <c r="AT230"/>
  <c r="BC128"/>
  <c r="AV128"/>
  <c r="BC137"/>
  <c r="AV137"/>
  <c r="BC157"/>
  <c r="AV157"/>
  <c r="BC161"/>
  <c r="AV161"/>
  <c r="BC142"/>
  <c r="AV142"/>
  <c r="AV177"/>
  <c r="BC177"/>
  <c r="BC124"/>
  <c r="AV124"/>
  <c r="AK125"/>
  <c r="AT122" s="1"/>
  <c r="H122"/>
  <c r="BC129"/>
  <c r="AV129"/>
  <c r="BC143"/>
  <c r="AV143"/>
  <c r="BC152"/>
  <c r="AV152"/>
  <c r="BC160"/>
  <c r="AV160"/>
  <c r="BC164"/>
  <c r="AV164"/>
  <c r="AV186"/>
  <c r="BC186"/>
  <c r="AV191"/>
  <c r="BC191"/>
  <c r="AV263"/>
  <c r="BC263"/>
  <c r="C29" i="1"/>
  <c r="F29" s="1"/>
  <c r="H30" i="3"/>
  <c r="AT77"/>
  <c r="AT174"/>
  <c r="BC62"/>
  <c r="AV67"/>
  <c r="BI67"/>
  <c r="AC67" s="1"/>
  <c r="BC73"/>
  <c r="BC76"/>
  <c r="BC81"/>
  <c r="BC83"/>
  <c r="AV85"/>
  <c r="BI85"/>
  <c r="AC85" s="1"/>
  <c r="AU86"/>
  <c r="BC88"/>
  <c r="BC89"/>
  <c r="AV90"/>
  <c r="BI90"/>
  <c r="AC90" s="1"/>
  <c r="AV96"/>
  <c r="BH96"/>
  <c r="BC97"/>
  <c r="BC98"/>
  <c r="AV101"/>
  <c r="BH101"/>
  <c r="BC103"/>
  <c r="BC105"/>
  <c r="AV109"/>
  <c r="BI109"/>
  <c r="AV123"/>
  <c r="AS122"/>
  <c r="AT133"/>
  <c r="AV139"/>
  <c r="BI139"/>
  <c r="AE139" s="1"/>
  <c r="AV144"/>
  <c r="BI144"/>
  <c r="AU145"/>
  <c r="AV149"/>
  <c r="BI149"/>
  <c r="AE149" s="1"/>
  <c r="BH157"/>
  <c r="AD157" s="1"/>
  <c r="AV159"/>
  <c r="BH161"/>
  <c r="AD161" s="1"/>
  <c r="AV162"/>
  <c r="BH165"/>
  <c r="AD165" s="1"/>
  <c r="AV166"/>
  <c r="AV167"/>
  <c r="AV182"/>
  <c r="BC196"/>
  <c r="AT206"/>
  <c r="BC235"/>
  <c r="AT246"/>
  <c r="AT251"/>
  <c r="AT261"/>
  <c r="BC265"/>
  <c r="AW169"/>
  <c r="AX170"/>
  <c r="BC170" s="1"/>
  <c r="AW175"/>
  <c r="AX176"/>
  <c r="AW179"/>
  <c r="AX180"/>
  <c r="AV180" s="1"/>
  <c r="AW183"/>
  <c r="AX184"/>
  <c r="BC184" s="1"/>
  <c r="AW188"/>
  <c r="AX189"/>
  <c r="BC189" s="1"/>
  <c r="AW194"/>
  <c r="AX196"/>
  <c r="AW203"/>
  <c r="AX205"/>
  <c r="AV205" s="1"/>
  <c r="AW215"/>
  <c r="AX220"/>
  <c r="BC220" s="1"/>
  <c r="AW225"/>
  <c r="H226"/>
  <c r="AX227"/>
  <c r="AW231"/>
  <c r="AX235"/>
  <c r="AW239"/>
  <c r="AX243"/>
  <c r="BC243" s="1"/>
  <c r="AW249"/>
  <c r="AX250"/>
  <c r="AW259"/>
  <c r="H261"/>
  <c r="AX262"/>
  <c r="AX271"/>
  <c r="BC271" s="1"/>
  <c r="BH162"/>
  <c r="AD162" s="1"/>
  <c r="BI163"/>
  <c r="AE163" s="1"/>
  <c r="BH166"/>
  <c r="AD166" s="1"/>
  <c r="BI167"/>
  <c r="BH171"/>
  <c r="AD171" s="1"/>
  <c r="BI173"/>
  <c r="AE173" s="1"/>
  <c r="BH177"/>
  <c r="AD177" s="1"/>
  <c r="BI178"/>
  <c r="AE178" s="1"/>
  <c r="BH181"/>
  <c r="AD181" s="1"/>
  <c r="BI182"/>
  <c r="AE182" s="1"/>
  <c r="BH186"/>
  <c r="AD186" s="1"/>
  <c r="BI187"/>
  <c r="AE187" s="1"/>
  <c r="BH191"/>
  <c r="AD191" s="1"/>
  <c r="BI192"/>
  <c r="AE192" s="1"/>
  <c r="BH198"/>
  <c r="AD198" s="1"/>
  <c r="BI202"/>
  <c r="AE202" s="1"/>
  <c r="BH207"/>
  <c r="AD207" s="1"/>
  <c r="BI211"/>
  <c r="AE211" s="1"/>
  <c r="BH222"/>
  <c r="AD222" s="1"/>
  <c r="BI223"/>
  <c r="AE223" s="1"/>
  <c r="BH228"/>
  <c r="AD228" s="1"/>
  <c r="BI229"/>
  <c r="BH236"/>
  <c r="AD236" s="1"/>
  <c r="BI238"/>
  <c r="AE238" s="1"/>
  <c r="BH245"/>
  <c r="BI247"/>
  <c r="AE247" s="1"/>
  <c r="BH252"/>
  <c r="AD252" s="1"/>
  <c r="BI258"/>
  <c r="AE258" s="1"/>
  <c r="BH263"/>
  <c r="AF263" s="1"/>
  <c r="C18" i="1" s="1"/>
  <c r="BI264" i="3"/>
  <c r="AG264" s="1"/>
  <c r="C19" i="1" s="1"/>
  <c r="BH111" i="3"/>
  <c r="AD111" s="1"/>
  <c r="BI112"/>
  <c r="AE112" s="1"/>
  <c r="BH123"/>
  <c r="AD123" s="1"/>
  <c r="BI124"/>
  <c r="AE124" s="1"/>
  <c r="BH127"/>
  <c r="AD127" s="1"/>
  <c r="BI128"/>
  <c r="AE128" s="1"/>
  <c r="BH131"/>
  <c r="AD131" s="1"/>
  <c r="BI132"/>
  <c r="BH136"/>
  <c r="AD136" s="1"/>
  <c r="BI137"/>
  <c r="AE137" s="1"/>
  <c r="BH141"/>
  <c r="AD141" s="1"/>
  <c r="BI142"/>
  <c r="AE142" s="1"/>
  <c r="BH146"/>
  <c r="AD146" s="1"/>
  <c r="BI147"/>
  <c r="AE147" s="1"/>
  <c r="BH150"/>
  <c r="AD150" s="1"/>
  <c r="BI151"/>
  <c r="AE151" s="1"/>
  <c r="BH155"/>
  <c r="AD155" s="1"/>
  <c r="BI156"/>
  <c r="AE156" s="1"/>
  <c r="BH159"/>
  <c r="AD159" s="1"/>
  <c r="AV176"/>
  <c r="AV184"/>
  <c r="AV196"/>
  <c r="AV220"/>
  <c r="AV227"/>
  <c r="AV235"/>
  <c r="AV250"/>
  <c r="AV262"/>
  <c r="BH264"/>
  <c r="AF264" s="1"/>
  <c r="BI265"/>
  <c r="AG265" s="1"/>
  <c r="AV266"/>
  <c r="AV269"/>
  <c r="AV271"/>
  <c r="H230"/>
  <c r="BC259" l="1"/>
  <c r="AV259"/>
  <c r="BC194"/>
  <c r="AV194"/>
  <c r="BC175"/>
  <c r="AV175"/>
  <c r="AV20"/>
  <c r="BC20"/>
  <c r="H272"/>
  <c r="H12"/>
  <c r="BC249"/>
  <c r="AV249"/>
  <c r="BC231"/>
  <c r="AV231"/>
  <c r="AV37"/>
  <c r="BC37"/>
  <c r="BC205"/>
  <c r="AV170"/>
  <c r="C16" i="1"/>
  <c r="BC23" i="3"/>
  <c r="BC239"/>
  <c r="AV239"/>
  <c r="BC215"/>
  <c r="AV215"/>
  <c r="BC183"/>
  <c r="AV183"/>
  <c r="AV32"/>
  <c r="BC32"/>
  <c r="BC225"/>
  <c r="AV225"/>
  <c r="BC203"/>
  <c r="AV203"/>
  <c r="BC188"/>
  <c r="AV188"/>
  <c r="BC179"/>
  <c r="AV179"/>
  <c r="BC169"/>
  <c r="AV169"/>
  <c r="BC44"/>
  <c r="AV44"/>
  <c r="BC180"/>
  <c r="AV189"/>
  <c r="AV243"/>
  <c r="C14" i="1"/>
  <c r="I28"/>
  <c r="I29" s="1"/>
  <c r="C22" l="1"/>
</calcChain>
</file>

<file path=xl/sharedStrings.xml><?xml version="1.0" encoding="utf-8"?>
<sst xmlns="http://schemas.openxmlformats.org/spreadsheetml/2006/main" count="2163" uniqueCount="721">
  <si>
    <t>Krycí list slepého rozpočtu</t>
  </si>
  <si>
    <t>Název stavby:</t>
  </si>
  <si>
    <t>Objednatel:</t>
  </si>
  <si>
    <t>IČO/DIČ:</t>
  </si>
  <si>
    <t/>
  </si>
  <si>
    <t>Druh stavby:</t>
  </si>
  <si>
    <t>Projektant:</t>
  </si>
  <si>
    <t>Lokalita:</t>
  </si>
  <si>
    <t>Zhotovitel:</t>
  </si>
  <si>
    <t>Začátek výstavby:</t>
  </si>
  <si>
    <t>Konec výstavby:</t>
  </si>
  <si>
    <t>Položek:</t>
  </si>
  <si>
    <t>JKSO:</t>
  </si>
  <si>
    <t>Zpracoval: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</si>
  <si>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</si>
  <si>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</si>
  <si>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</si>
  <si>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</si>
  <si>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</si>
  <si>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</si>
  <si>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</si>
  <si>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</si>
  <si>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</si>
  <si>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</si>
  <si>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</si>
  <si>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</si>
  <si>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Montáž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</si>
  <si>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</si>
  <si>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</si>
  <si>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</si>
  <si>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</si>
  <si>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</si>
  <si>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</si>
  <si>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</si>
  <si>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</si>
  <si>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</si>
  <si>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</si>
  <si>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</si>
  <si>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</si>
  <si>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</si>
  <si>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</si>
  <si>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DN celkem z obj.</t>
  </si>
  <si>
    <t>NUS celkem z obj.</t>
  </si>
  <si>
    <t>VORN celkem</t>
  </si>
  <si>
    <t>VORN celkem z obj.</t>
  </si>
  <si>
    <t>Základ 0%</t>
  </si>
  <si>
    <t>Základ 12%</t>
  </si>
  <si>
    <t>DPH 12%</t>
  </si>
  <si>
    <t>Celkem bez DPH</t>
  </si>
  <si>
    <t>Základ 21%</t>
  </si>
  <si>
    <t>DPH 21%</t>
  </si>
  <si>
    <t>Celkem včetně DPH</t>
  </si>
  <si>
    <t>Projektant</t>
  </si>
  <si>
    <t>Objednatel</t>
  </si>
  <si>
    <t>Zhotovitel</t>
  </si>
  <si>
    <t>Datum, razítko a podpis</t>
  </si>
  <si>
    <t>Poznámka:</t>
  </si>
  <si>
    <t>Vedlejší a ostatní rozpočtové náklady</t>
  </si>
  <si>
    <t>Vedlejší rozpočtové náklady VRN</t>
  </si>
  <si>
    <t>Doplňkové náklady DN</t>
  </si>
  <si>
    <t>Kč</t>
  </si>
  <si>
    <t>%</t>
  </si>
  <si>
    <t>Základna</t>
  </si>
  <si>
    <t>Celkem DN</t>
  </si>
  <si>
    <t>Celkem NUS</t>
  </si>
  <si>
    <t>Celkem VRN</t>
  </si>
  <si>
    <t>Vedlejší a ostatní rozpočtové náklady VORN</t>
  </si>
  <si>
    <t>Ostatní rozpočtové náklady (VORN)</t>
  </si>
  <si>
    <t>Průzkumy, geodetické a projektové práce</t>
  </si>
  <si>
    <t>Příprava staveniště</t>
  </si>
  <si>
    <t>Inženýrské činnosti</t>
  </si>
  <si>
    <t>Finanční náklady</t>
  </si>
  <si>
    <t>Náklady na pracovníky</t>
  </si>
  <si>
    <t>Ostatní náklady</t>
  </si>
  <si>
    <t>Vlastní VORN</t>
  </si>
  <si>
    <t>Celkem VORN</t>
  </si>
  <si>
    <t>Slepý stavební rozpočet</t>
  </si>
  <si>
    <t>101-2025 Libušínská 203/11, byt č. 1 Žďár nad Sázavou</t>
  </si>
  <si>
    <t>Doba výstavby:</t>
  </si>
  <si>
    <t xml:space="preserve"> </t>
  </si>
  <si>
    <t> </t>
  </si>
  <si>
    <t>Oprava bytu 1+1  1.NP</t>
  </si>
  <si>
    <t>Zpracováno dne:</t>
  </si>
  <si>
    <t>Č</t>
  </si>
  <si>
    <t>Kód</t>
  </si>
  <si>
    <t>Zkrácený popis / Varianta</t>
  </si>
  <si>
    <t>MJ</t>
  </si>
  <si>
    <t>Množství</t>
  </si>
  <si>
    <t>Cena/MJ</t>
  </si>
  <si>
    <t>Náklady (Kč)</t>
  </si>
  <si>
    <t>ISWORK</t>
  </si>
  <si>
    <t>GROUPCODE</t>
  </si>
  <si>
    <t>VATTAX</t>
  </si>
  <si>
    <t>Rozměry</t>
  </si>
  <si>
    <t>(Kč)</t>
  </si>
  <si>
    <t>Celkem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</si>
  <si>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</si>
  <si>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</si>
  <si>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</si>
  <si>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</si>
  <si>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</si>
  <si>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</si>
  <si>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</si>
  <si>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</si>
  <si>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</si>
  <si>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MAT</t>
  </si>
  <si>
    <t>WORK</t>
  </si>
  <si>
    <t>CELK</t>
  </si>
  <si>
    <t>Nezařazeno</t>
  </si>
  <si>
    <t>34</t>
  </si>
  <si>
    <t>Stěny a příčky</t>
  </si>
  <si>
    <t>1</t>
  </si>
  <si>
    <t>310235251RT2</t>
  </si>
  <si>
    <t>Zazdívka otvorů pl.0,0225 m2 cihlami, tl.zdi 45 cm</t>
  </si>
  <si>
    <t>kus</t>
  </si>
  <si>
    <t>34_</t>
  </si>
  <si>
    <t>_3_</t>
  </si>
  <si>
    <t>_</t>
  </si>
  <si>
    <t>P</t>
  </si>
  <si>
    <t>Varianta:</t>
  </si>
  <si>
    <t>s použitím suché maltové směsi</t>
  </si>
  <si>
    <t>2</t>
  </si>
  <si>
    <t>342270040RA0</t>
  </si>
  <si>
    <t>Příčka z desek  Pórobetonových hladkých, tloušťka 5 cm</t>
  </si>
  <si>
    <t>m2</t>
  </si>
  <si>
    <t>(0,4+0,85)*2,6-0,5*0,5</t>
  </si>
  <si>
    <t>koupelna obezdění šachty</t>
  </si>
  <si>
    <t>3</t>
  </si>
  <si>
    <t>342270041RA0</t>
  </si>
  <si>
    <t>Příčka z pórobetonových desek hladkých, tloušťka 75 mm</t>
  </si>
  <si>
    <t>2,4*1,1</t>
  </si>
  <si>
    <t>instal. přizdívka koupelna</t>
  </si>
  <si>
    <t>4</t>
  </si>
  <si>
    <t>342270042RA0</t>
  </si>
  <si>
    <t>Příčka z desek  Pórobetonových hladkých, tloušťka 10 cm</t>
  </si>
  <si>
    <t>2,85*2,6-0,8*2</t>
  </si>
  <si>
    <t>příčka chodba</t>
  </si>
  <si>
    <t>3,46*2,6-0,8*2</t>
  </si>
  <si>
    <t>příčka kuchyň</t>
  </si>
  <si>
    <t>5</t>
  </si>
  <si>
    <t>317121047RT2</t>
  </si>
  <si>
    <t>Překlad nenosný pórobetonový, světlost otvoru do 1050 mm</t>
  </si>
  <si>
    <t>překlad nenosný  124 x 24,9 x 10 cm</t>
  </si>
  <si>
    <t>6</t>
  </si>
  <si>
    <t>342668111R00</t>
  </si>
  <si>
    <t>Těsnění styku příčky se stáv. konstrukcí PU pěnou</t>
  </si>
  <si>
    <t>m</t>
  </si>
  <si>
    <t>(0,4+0,85)</t>
  </si>
  <si>
    <t>2,85+3,46</t>
  </si>
  <si>
    <t>7</t>
  </si>
  <si>
    <t>342948111R00</t>
  </si>
  <si>
    <t>Ukotvení příček ke konstrukci kotvami na hmoždinky</t>
  </si>
  <si>
    <t>2,6*4</t>
  </si>
  <si>
    <t>61</t>
  </si>
  <si>
    <t>Úprava povrchů vnitřní</t>
  </si>
  <si>
    <t>8</t>
  </si>
  <si>
    <t>611421321R00</t>
  </si>
  <si>
    <t>Oprava váp.omítek stropů do 30% plochy - hladkých</t>
  </si>
  <si>
    <t>61_</t>
  </si>
  <si>
    <t>_6_</t>
  </si>
  <si>
    <t>9</t>
  </si>
  <si>
    <t>620991111R00</t>
  </si>
  <si>
    <t>Zakrývání spár panelů páskou</t>
  </si>
  <si>
    <t>5*5,965</t>
  </si>
  <si>
    <t>10</t>
  </si>
  <si>
    <t>601016191R00</t>
  </si>
  <si>
    <t>Penetrační nátěr stropů</t>
  </si>
  <si>
    <t>3,99+5,37+10,43+20,64</t>
  </si>
  <si>
    <t>11</t>
  </si>
  <si>
    <t>611471411R00</t>
  </si>
  <si>
    <t>Úprava stropů aktivovaným štukem tl. 2 - 3 mm</t>
  </si>
  <si>
    <t>12</t>
  </si>
  <si>
    <t>602016191R00</t>
  </si>
  <si>
    <t>Penetrační nátěr stěn</t>
  </si>
  <si>
    <t>(1,4+2,85)*2*2,6-0,8*2*4</t>
  </si>
  <si>
    <t>stěny  chodba</t>
  </si>
  <si>
    <t>(1,885+2,85)*2*2,6-0,8*2</t>
  </si>
  <si>
    <t>koupelna</t>
  </si>
  <si>
    <t>(3,015+3,46)*2*2,6-2,6*1,5-0,8*2</t>
  </si>
  <si>
    <t>kuchyň</t>
  </si>
  <si>
    <t>(2,6+1,5*2)*0,15</t>
  </si>
  <si>
    <t>ostění okno</t>
  </si>
  <si>
    <t>(3,46+5,965)*2*2,6-0,8*2-0,8*2,3-1,3*1,5</t>
  </si>
  <si>
    <t>pokoj</t>
  </si>
  <si>
    <t>(2,6+2,3*2)*0,15</t>
  </si>
  <si>
    <t>ostění okno dveře</t>
  </si>
  <si>
    <t>13</t>
  </si>
  <si>
    <t>612403399R00</t>
  </si>
  <si>
    <t>Hrubá výplň rýh ve stěnách maltou</t>
  </si>
  <si>
    <t>50*0,1</t>
  </si>
  <si>
    <t>po instalacích</t>
  </si>
  <si>
    <t>14</t>
  </si>
  <si>
    <t>612421321R00</t>
  </si>
  <si>
    <t>Oprava vápen.omítek stěn do 30 % pl. - hladkých</t>
  </si>
  <si>
    <t>(1,4+2,85)*2,6-0,8*2*2</t>
  </si>
  <si>
    <t>(1,985+2,85)*0,5</t>
  </si>
  <si>
    <t>koupelna nad obklady</t>
  </si>
  <si>
    <t>(3,015*2+3,46)*2,6-2,6*1,5</t>
  </si>
  <si>
    <t>15</t>
  </si>
  <si>
    <t>612471411RT2</t>
  </si>
  <si>
    <t>Úprava vnitřních stěn aktivovaným štukem</t>
  </si>
  <si>
    <t>(1,885+2,85)*2*0,5</t>
  </si>
  <si>
    <t>16</t>
  </si>
  <si>
    <t>610991111R00</t>
  </si>
  <si>
    <t>Zakrývání výplní vnitřních otvorů</t>
  </si>
  <si>
    <t>2,6*1,5</t>
  </si>
  <si>
    <t>0,8*2,3+1,3*1,5</t>
  </si>
  <si>
    <t>17</t>
  </si>
  <si>
    <t>612481211RT2</t>
  </si>
  <si>
    <t>Montáž výztužné sítě(perlinky)do stěrky-vnit.stěny</t>
  </si>
  <si>
    <t>včetně výztužné sítě a stěrkového tmelu</t>
  </si>
  <si>
    <t>nové příčky Ytong -  chodba</t>
  </si>
  <si>
    <t>koupelna nad obklad</t>
  </si>
  <si>
    <t>18</t>
  </si>
  <si>
    <t>642942111RT4</t>
  </si>
  <si>
    <t>Osazení zárubní dveřních ocelových, pl. do 2,5 m2</t>
  </si>
  <si>
    <t>včetně dodávky zárubně 800 x 1970 x 100 mm</t>
  </si>
  <si>
    <t>63</t>
  </si>
  <si>
    <t>Podlahy a podlahové konstrukce</t>
  </si>
  <si>
    <t>19</t>
  </si>
  <si>
    <t>632451441R00</t>
  </si>
  <si>
    <t>Doplnění potěru plochy do 1 m2, tl. 30 - 40 mm</t>
  </si>
  <si>
    <t>63_</t>
  </si>
  <si>
    <t>1,2*0,8</t>
  </si>
  <si>
    <t>pod stáv. vanou</t>
  </si>
  <si>
    <t>20</t>
  </si>
  <si>
    <t>632411110RT2</t>
  </si>
  <si>
    <t>Samonivelační stěrka , ruční zpracování tl. 10 mm</t>
  </si>
  <si>
    <t>samonivelační polymercementová stěrka  30 MPa</t>
  </si>
  <si>
    <t>m.č. 1 - 4</t>
  </si>
  <si>
    <t>21</t>
  </si>
  <si>
    <t>632411904R00</t>
  </si>
  <si>
    <t>Penetrace savých podkladů  0,25 l/m2</t>
  </si>
  <si>
    <t>95</t>
  </si>
  <si>
    <t>Různé dokončovací konstrukce a práce na pozemních stavbách</t>
  </si>
  <si>
    <t>22</t>
  </si>
  <si>
    <t>900      R01</t>
  </si>
  <si>
    <t>HZS - drobné nezměřitelné práce</t>
  </si>
  <si>
    <t>h</t>
  </si>
  <si>
    <t>95_</t>
  </si>
  <si>
    <t>_9_</t>
  </si>
  <si>
    <t>stavební dělník</t>
  </si>
  <si>
    <t>23</t>
  </si>
  <si>
    <t>952901111R00</t>
  </si>
  <si>
    <t>Vyčištění budov o výšce podlaží do 4 m</t>
  </si>
  <si>
    <t>24</t>
  </si>
  <si>
    <t>953943111R00</t>
  </si>
  <si>
    <t>Osazení kovových předmětů do zdiva, 1 kg / kus</t>
  </si>
  <si>
    <t>instal. dvířka</t>
  </si>
  <si>
    <t>25</t>
  </si>
  <si>
    <t>952902110RVV</t>
  </si>
  <si>
    <t>Zametání a vytírání v místnostech, chodbách, na  schodišti</t>
  </si>
  <si>
    <t>KPL.</t>
  </si>
  <si>
    <t xml:space="preserve"> v průběhu rekonstrukce</t>
  </si>
  <si>
    <t>26</t>
  </si>
  <si>
    <t>553476578</t>
  </si>
  <si>
    <t>Dvířka revizní do zdiva 500 x 500 mm, tl.12,5 mm - vlhké prostředí pro montáž obkladů - dle vzorkování</t>
  </si>
  <si>
    <t>M</t>
  </si>
  <si>
    <t>96</t>
  </si>
  <si>
    <t>Bourání konstrukcí</t>
  </si>
  <si>
    <t>27</t>
  </si>
  <si>
    <t>968061125R00</t>
  </si>
  <si>
    <t>Vyvěšení dřevěných dveřních křídel pl. do 2 m2</t>
  </si>
  <si>
    <t>96_</t>
  </si>
  <si>
    <t>28</t>
  </si>
  <si>
    <t>965044121R00</t>
  </si>
  <si>
    <t>Bourání podkladů bet., tl. 4 cm, s rabic.pletivem</t>
  </si>
  <si>
    <t>29</t>
  </si>
  <si>
    <t>9620. 1</t>
  </si>
  <si>
    <t>Demontáž byt. jádra, vč. zařizovacích předmětů, vč. likvidace do sutě</t>
  </si>
  <si>
    <t>30</t>
  </si>
  <si>
    <t>713400851R00</t>
  </si>
  <si>
    <t>Odstranění izolace stropu z tvarovek, vč. odstranění lepidla, likvidace</t>
  </si>
  <si>
    <t>7,4+20,64+9,6</t>
  </si>
  <si>
    <t>EPS strop</t>
  </si>
  <si>
    <t>31</t>
  </si>
  <si>
    <t>962084131R00</t>
  </si>
  <si>
    <t>Bourání příček deskových  tl.10 cm</t>
  </si>
  <si>
    <t>32</t>
  </si>
  <si>
    <t>965048515R00</t>
  </si>
  <si>
    <t>Broušení betonových povrchů do tl. 5 mm</t>
  </si>
  <si>
    <t>stáv. místnosti, po odstranění PVC</t>
  </si>
  <si>
    <t>33</t>
  </si>
  <si>
    <t>979011111R00</t>
  </si>
  <si>
    <t>Svislá doprava suti a vybour. hmot za 2.NP a 1.PP</t>
  </si>
  <si>
    <t>t</t>
  </si>
  <si>
    <t>979081111R00</t>
  </si>
  <si>
    <t>Odvoz suti a vybour. hmot na skládku do 1 km</t>
  </si>
  <si>
    <t>35</t>
  </si>
  <si>
    <t>979081121R00</t>
  </si>
  <si>
    <t>Příplatek k odvozu za každý další 1 km</t>
  </si>
  <si>
    <t>1,312*5</t>
  </si>
  <si>
    <t>36</t>
  </si>
  <si>
    <t>979082111R00</t>
  </si>
  <si>
    <t>Vnitrostaveništní doprava suti do 10 m</t>
  </si>
  <si>
    <t>37</t>
  </si>
  <si>
    <t>979082121R00</t>
  </si>
  <si>
    <t>Příplatek k vnitrost. dopravě suti za dalších 5 m</t>
  </si>
  <si>
    <t>1,312*4</t>
  </si>
  <si>
    <t>38</t>
  </si>
  <si>
    <t>979990107R00</t>
  </si>
  <si>
    <t>Poplatek za uložení suti - směs betonu, cihel, dřeva, skupina odpadu 170904</t>
  </si>
  <si>
    <t>1,312-0,165</t>
  </si>
  <si>
    <t>39</t>
  </si>
  <si>
    <t>979990181R00</t>
  </si>
  <si>
    <t>Poplatek za uložení suti - PVC podlahová krytina, skupina odpadu 200307</t>
  </si>
  <si>
    <t>37,608*0,0035</t>
  </si>
  <si>
    <t>PVC</t>
  </si>
  <si>
    <t>41,5*0,0008</t>
  </si>
  <si>
    <t>sokl PVC</t>
  </si>
  <si>
    <t>99</t>
  </si>
  <si>
    <t>Staveništní přesun hmot</t>
  </si>
  <si>
    <t>40</t>
  </si>
  <si>
    <t>999281108R00</t>
  </si>
  <si>
    <t>Přesun hmot pro opravy a údržbu do výšky 12 m</t>
  </si>
  <si>
    <t>99_</t>
  </si>
  <si>
    <t>711</t>
  </si>
  <si>
    <t>Izolace proti vodě</t>
  </si>
  <si>
    <t>41</t>
  </si>
  <si>
    <t>711212000R00</t>
  </si>
  <si>
    <t>Penetrace podkladu pod hydroizolační hmoty, včetně dodávky</t>
  </si>
  <si>
    <t>711_</t>
  </si>
  <si>
    <t>_71_</t>
  </si>
  <si>
    <t>42</t>
  </si>
  <si>
    <t>711212002RT3</t>
  </si>
  <si>
    <t>Stěrka hydroizolační, vč. dodávky HI hmoty</t>
  </si>
  <si>
    <t>, tl. 2 mm</t>
  </si>
  <si>
    <t>1,885*2,85</t>
  </si>
  <si>
    <t>koupelna podlaha</t>
  </si>
  <si>
    <t>(1,885+2,85)*2*0,3-0,8*0,3</t>
  </si>
  <si>
    <t>sokl</t>
  </si>
  <si>
    <t>(1,1+1,1)*2,1</t>
  </si>
  <si>
    <t>sprcha svisle</t>
  </si>
  <si>
    <t>43</t>
  </si>
  <si>
    <t>711212601RT2</t>
  </si>
  <si>
    <t>Utěsnění detailů při stěrkových hydroizolacích, těsnicí pás do spoje podlaha - stěna</t>
  </si>
  <si>
    <t>100 mm</t>
  </si>
  <si>
    <t>(1,885+2,85)*2-0,8</t>
  </si>
  <si>
    <t>koupelna sokl</t>
  </si>
  <si>
    <t>2,1</t>
  </si>
  <si>
    <t>svisle sprcha</t>
  </si>
  <si>
    <t>44</t>
  </si>
  <si>
    <t>998711102R00</t>
  </si>
  <si>
    <t>Přesun hmot pro izolace proti vodě, výšky do 12 m</t>
  </si>
  <si>
    <t>721</t>
  </si>
  <si>
    <t>Vnitřní kanalizace</t>
  </si>
  <si>
    <t>45</t>
  </si>
  <si>
    <t>721140935R00</t>
  </si>
  <si>
    <t>Provedení opravy vnitřní kanalizace, potrubí litinové, přechod z plastových trub na litinu,DN 100 mm</t>
  </si>
  <si>
    <t>721_</t>
  </si>
  <si>
    <t>_72_</t>
  </si>
  <si>
    <t>46</t>
  </si>
  <si>
    <t>721176103R00</t>
  </si>
  <si>
    <t>Potrubí HT připojovací, D 50 x 1,8 mm</t>
  </si>
  <si>
    <t>47</t>
  </si>
  <si>
    <t>721176105R00</t>
  </si>
  <si>
    <t>Potrubí HT připojovací, D 110 x 2,7 mm</t>
  </si>
  <si>
    <t>48</t>
  </si>
  <si>
    <t>721176115R00</t>
  </si>
  <si>
    <t>Potrubí HT odpadní svislé, D 110 x 2,7 mm</t>
  </si>
  <si>
    <t>49</t>
  </si>
  <si>
    <t>721194105R00</t>
  </si>
  <si>
    <t>Vyvedení odpadních výpustek, D 50 x 1,8 mm</t>
  </si>
  <si>
    <t>50</t>
  </si>
  <si>
    <t>721194109R00</t>
  </si>
  <si>
    <t>Vyvedení odpadních výpustek, D 110 x 2,3 mm</t>
  </si>
  <si>
    <t>51</t>
  </si>
  <si>
    <t>230120046R00</t>
  </si>
  <si>
    <t>Čištění potrubí profukováním nebo proplach. DN 100</t>
  </si>
  <si>
    <t>52</t>
  </si>
  <si>
    <t>721290111R00</t>
  </si>
  <si>
    <t>Zkouška těsnosti kanalizace vodou DN 125 mm</t>
  </si>
  <si>
    <t>53</t>
  </si>
  <si>
    <t>721176212R00</t>
  </si>
  <si>
    <t>Potrubí KG odpadní svislé, D 110 x 3,2 mm</t>
  </si>
  <si>
    <t>54</t>
  </si>
  <si>
    <t>998721102R00</t>
  </si>
  <si>
    <t>Přesun hmot pro vnitřní kanalizaci, výšky do 12 m</t>
  </si>
  <si>
    <t>722</t>
  </si>
  <si>
    <t>Vnitřní vodovod</t>
  </si>
  <si>
    <t>55</t>
  </si>
  <si>
    <t>722130913R00</t>
  </si>
  <si>
    <t>Provedení opravy závitového potrubí, přeřezání ocelové trubky do DN 25 mm</t>
  </si>
  <si>
    <t>722_</t>
  </si>
  <si>
    <t>56</t>
  </si>
  <si>
    <t>722260921R00</t>
  </si>
  <si>
    <t>Zpětná montáž vodoměrů závitových G 1/2"</t>
  </si>
  <si>
    <t>57</t>
  </si>
  <si>
    <t>722172631R00</t>
  </si>
  <si>
    <t>Potrubí plastové PP-R Instaplast, bez zednických výpomocí, D 20 x 3,4 mm, PN 20</t>
  </si>
  <si>
    <t>58</t>
  </si>
  <si>
    <t>722220111R00</t>
  </si>
  <si>
    <t>Nástěnka K 247, pro výtokový ventil G 1/2"</t>
  </si>
  <si>
    <t>59</t>
  </si>
  <si>
    <t>722220121R00</t>
  </si>
  <si>
    <t>Nástěnka K 247, pro baterii G 1/2"</t>
  </si>
  <si>
    <t>pár</t>
  </si>
  <si>
    <t>60</t>
  </si>
  <si>
    <t>722181214RT8</t>
  </si>
  <si>
    <t>Izolace návleková  tl. stěny 20 mm</t>
  </si>
  <si>
    <t>vnitřní průměr 25 mm</t>
  </si>
  <si>
    <t>722190401R00</t>
  </si>
  <si>
    <t>Vyvedení a upevnění výpustek DN 15 mm</t>
  </si>
  <si>
    <t>62</t>
  </si>
  <si>
    <t>722290234R00</t>
  </si>
  <si>
    <t>Proplach a dezinfekce vodovodního potrubí DN 80 mm</t>
  </si>
  <si>
    <t>722280106R00</t>
  </si>
  <si>
    <t>Tlaková zkouška vodovodního potrubí DN 32 mm</t>
  </si>
  <si>
    <t>64</t>
  </si>
  <si>
    <t>998722102R00</t>
  </si>
  <si>
    <t>Přesun hmot pro vnitřní vodovod, výšky do 12 m</t>
  </si>
  <si>
    <t>725</t>
  </si>
  <si>
    <t>Zařizovací předměty</t>
  </si>
  <si>
    <t>65</t>
  </si>
  <si>
    <t>725219401R00</t>
  </si>
  <si>
    <t>Montáž umyvadel na šrouby do zdiva</t>
  </si>
  <si>
    <t>soubor</t>
  </si>
  <si>
    <t>725_</t>
  </si>
  <si>
    <t>66</t>
  </si>
  <si>
    <t>725017153R00</t>
  </si>
  <si>
    <t>Umyvadlo invalidní dle vzorníku</t>
  </si>
  <si>
    <t>67</t>
  </si>
  <si>
    <t>725860213R00</t>
  </si>
  <si>
    <t>Sifon podomítkový umyvadlový</t>
  </si>
  <si>
    <t>68</t>
  </si>
  <si>
    <t>725860107R00</t>
  </si>
  <si>
    <t>Uzávěrka zápachová umyvadlová T 1015, D 40 mm</t>
  </si>
  <si>
    <t>69</t>
  </si>
  <si>
    <t>725829301R00</t>
  </si>
  <si>
    <t>Montáž baterie umyvadlové a dřezové stojánkové</t>
  </si>
  <si>
    <t>70</t>
  </si>
  <si>
    <t>725849201R00</t>
  </si>
  <si>
    <t>Montáž baterií sprchových, pevná výška</t>
  </si>
  <si>
    <t>71</t>
  </si>
  <si>
    <t>725860181RT1</t>
  </si>
  <si>
    <t>Sifon pračkový HL404.1, D 40/50 mm nerezový</t>
  </si>
  <si>
    <t>podomít.uzáv. s přivzd.vent. krycí deska 225x100mm</t>
  </si>
  <si>
    <t>72</t>
  </si>
  <si>
    <t>725860222R00</t>
  </si>
  <si>
    <t>Sifon sprchový PP HL514SN, D 40/50 mm</t>
  </si>
  <si>
    <t>73</t>
  </si>
  <si>
    <t>725810402R00</t>
  </si>
  <si>
    <t>Ventil rohový bez přípojovací trubičky TE 66 G 1/2"</t>
  </si>
  <si>
    <t>74</t>
  </si>
  <si>
    <t>72582</t>
  </si>
  <si>
    <t>Baterie  nástěnná koupelna umyvadlo</t>
  </si>
  <si>
    <t>75</t>
  </si>
  <si>
    <t>725845111R00</t>
  </si>
  <si>
    <t>Baterie sprchová nástěnná ruční, bez příslušenství</t>
  </si>
  <si>
    <t>76</t>
  </si>
  <si>
    <t>725814125R00</t>
  </si>
  <si>
    <t>Ventil pračkový   DN 20 mm</t>
  </si>
  <si>
    <t>77</t>
  </si>
  <si>
    <t>725119305R00</t>
  </si>
  <si>
    <t>Montáž klozetových mís kombinovaných</t>
  </si>
  <si>
    <t>78</t>
  </si>
  <si>
    <t>725013128R00</t>
  </si>
  <si>
    <t>Klozet kombi  ZTP, nádrž s armaturou, odpad svislý, bílý</t>
  </si>
  <si>
    <t>79</t>
  </si>
  <si>
    <t>72529</t>
  </si>
  <si>
    <t>Madlo sklopné a madlo pevné  dl. 830 mm</t>
  </si>
  <si>
    <t>80</t>
  </si>
  <si>
    <t>725291112R00</t>
  </si>
  <si>
    <t>Madlo rovné bílé  dl. 400 mm</t>
  </si>
  <si>
    <t>81</t>
  </si>
  <si>
    <t>725291114R00</t>
  </si>
  <si>
    <t>Madlo rovné bílé  dl. 600 mm</t>
  </si>
  <si>
    <t>82</t>
  </si>
  <si>
    <t>55430</t>
  </si>
  <si>
    <t>Stolička do sprchy - dle vzorkování</t>
  </si>
  <si>
    <t>83</t>
  </si>
  <si>
    <t>5514</t>
  </si>
  <si>
    <t>Sprchová zástěna sklopná na stěnu, š=900mm - dle vzorkování</t>
  </si>
  <si>
    <t>84</t>
  </si>
  <si>
    <t>5523</t>
  </si>
  <si>
    <t>Žlab sprchový nerezový  dl. 900 mm</t>
  </si>
  <si>
    <t>85</t>
  </si>
  <si>
    <t>998725102R00</t>
  </si>
  <si>
    <t>Přesun hmot pro zařizovací předměty, výšky do 12 m</t>
  </si>
  <si>
    <t>728</t>
  </si>
  <si>
    <t>Vzduchotechnika</t>
  </si>
  <si>
    <t>86</t>
  </si>
  <si>
    <t>72855</t>
  </si>
  <si>
    <t>Vzduchotechnika - odtah od odsavače</t>
  </si>
  <si>
    <t>728_</t>
  </si>
  <si>
    <t>87</t>
  </si>
  <si>
    <t>728415111R00</t>
  </si>
  <si>
    <t>Montáž mřížky větrací nebo ventilační do 0,04 m2</t>
  </si>
  <si>
    <t>88</t>
  </si>
  <si>
    <t>429727810</t>
  </si>
  <si>
    <t>Mřížka kruhová PVC průměr 100 mm</t>
  </si>
  <si>
    <t>735</t>
  </si>
  <si>
    <t>Otopná tělesa</t>
  </si>
  <si>
    <t>89</t>
  </si>
  <si>
    <t>730. 1</t>
  </si>
  <si>
    <t>Demont a zpětná montáž radiatorů ÚT</t>
  </si>
  <si>
    <t>735_</t>
  </si>
  <si>
    <t>_73_</t>
  </si>
  <si>
    <t>766</t>
  </si>
  <si>
    <t>Konstrukce truhlářské</t>
  </si>
  <si>
    <t>90</t>
  </si>
  <si>
    <t>766662811R00</t>
  </si>
  <si>
    <t>Demontáž prahů dveří 1křídlových</t>
  </si>
  <si>
    <t>766_</t>
  </si>
  <si>
    <t>_76_</t>
  </si>
  <si>
    <t>91</t>
  </si>
  <si>
    <t>766812840R00</t>
  </si>
  <si>
    <t>Demontáž kuchyňských linek do 2,1 m</t>
  </si>
  <si>
    <t>92</t>
  </si>
  <si>
    <t>766825811R00</t>
  </si>
  <si>
    <t>Demontáž vestavěných skříní 1křídlových</t>
  </si>
  <si>
    <t>93</t>
  </si>
  <si>
    <t>766825821R00</t>
  </si>
  <si>
    <t>Demontáž vestavěných skříní 2křídlových</t>
  </si>
  <si>
    <t>94</t>
  </si>
  <si>
    <t>766661112R00</t>
  </si>
  <si>
    <t>Montáž dveří do zárubně,otevíravých 1kř.do 0,8 m</t>
  </si>
  <si>
    <t>766812114R00</t>
  </si>
  <si>
    <t>Montáž kuchyňských linek dřevěných linek š.do 2,1m</t>
  </si>
  <si>
    <t>766. 1</t>
  </si>
  <si>
    <t>Dodávka kuchyňská linka - dle schématu " kuchyně Libušínská "</t>
  </si>
  <si>
    <t>97</t>
  </si>
  <si>
    <t>766. 2</t>
  </si>
  <si>
    <t>Demontáž garnýže, vč. likvidace</t>
  </si>
  <si>
    <t>ks</t>
  </si>
  <si>
    <t>98</t>
  </si>
  <si>
    <t>766. 3</t>
  </si>
  <si>
    <t>Vyštelování stávajících plastových výplní oken, doplnění chybějících prvků</t>
  </si>
  <si>
    <t>766695212R00</t>
  </si>
  <si>
    <t>Montáž prahů dveří jednokřídlových š. do 10 cm</t>
  </si>
  <si>
    <t>vstupní dveře</t>
  </si>
  <si>
    <t>100</t>
  </si>
  <si>
    <t>6116. 1</t>
  </si>
  <si>
    <t>Dveře vnitřní hladké 1 křídl. bílé, 2/3 sklo 800 x 1970 mm, CPL, DTD výplň, sklo bezpečnostní, kování, zámek - vše dle standarů</t>
  </si>
  <si>
    <t>101</t>
  </si>
  <si>
    <t>6116. 2</t>
  </si>
  <si>
    <t>Dveře posuvné 800 x 2000 mm, CPL, DTD výplň, vč. kování a příslušenství - vše dle standardů</t>
  </si>
  <si>
    <t>102</t>
  </si>
  <si>
    <t>61187396</t>
  </si>
  <si>
    <t>Prah bukový dl. 800 mm, š. 100 mm, tl. 20 mm, dle standardů</t>
  </si>
  <si>
    <t>103</t>
  </si>
  <si>
    <t>998766102R00</t>
  </si>
  <si>
    <t>Přesun hmot pro truhlářské konstr., výšky do 12 m</t>
  </si>
  <si>
    <t>771</t>
  </si>
  <si>
    <t>Podlahy z dlaždic</t>
  </si>
  <si>
    <t>104</t>
  </si>
  <si>
    <t>771101210R00</t>
  </si>
  <si>
    <t>Penetrace podkladu pod dlažby</t>
  </si>
  <si>
    <t>771_</t>
  </si>
  <si>
    <t>_77_</t>
  </si>
  <si>
    <t>105</t>
  </si>
  <si>
    <t>771101116R00</t>
  </si>
  <si>
    <t>Vyrovnání podkladů samonivelační hmotou tloušťky do 30 mm</t>
  </si>
  <si>
    <t>106</t>
  </si>
  <si>
    <t>771575109R00</t>
  </si>
  <si>
    <t>Montáž keramické dlažby, hladké, na tmel, 300 x 300 m</t>
  </si>
  <si>
    <t>107</t>
  </si>
  <si>
    <t>771578001R00</t>
  </si>
  <si>
    <t>Montáž podlah.lišt , vnitř.ker.dlažba</t>
  </si>
  <si>
    <t>1,1+0,9</t>
  </si>
  <si>
    <t>sprcha</t>
  </si>
  <si>
    <t>108</t>
  </si>
  <si>
    <t>771578011R00</t>
  </si>
  <si>
    <t>Spára podlaha - stěna, silikonem</t>
  </si>
  <si>
    <t>koupelna vodorovně</t>
  </si>
  <si>
    <t>5*2,1</t>
  </si>
  <si>
    <t>svisle</t>
  </si>
  <si>
    <t>0,6</t>
  </si>
  <si>
    <t>kuchyň. linka</t>
  </si>
  <si>
    <t>109</t>
  </si>
  <si>
    <t>5537</t>
  </si>
  <si>
    <t>Lišta dělicí Al,  l = 2700 mm</t>
  </si>
  <si>
    <t>110</t>
  </si>
  <si>
    <t>59764231</t>
  </si>
  <si>
    <t>Dlažba protiskluzná 300 x 300 x 9 mm, dle vzorkování, dle standardů</t>
  </si>
  <si>
    <t>5,372*1,1</t>
  </si>
  <si>
    <t>111</t>
  </si>
  <si>
    <t>998771102R00</t>
  </si>
  <si>
    <t>Přesun hmot pro podlahy z dlaždic, výšky do 12 m</t>
  </si>
  <si>
    <t>776</t>
  </si>
  <si>
    <t>Podlahy povlakové</t>
  </si>
  <si>
    <t>112</t>
  </si>
  <si>
    <t>776401800R00</t>
  </si>
  <si>
    <t>Demontáž soklíků nebo lišt, pryžových nebo z PVC</t>
  </si>
  <si>
    <t>776_</t>
  </si>
  <si>
    <t>(3,46+3,65)*2-0,8*3-0,6</t>
  </si>
  <si>
    <t>stávající chodba</t>
  </si>
  <si>
    <t>(3,46+5,965)*2-0,8</t>
  </si>
  <si>
    <t>(3,46+3,055)*2-0,8</t>
  </si>
  <si>
    <t>113</t>
  </si>
  <si>
    <t>776511810R00</t>
  </si>
  <si>
    <t>Odstranění PVC a koberců lepených bez podložky</t>
  </si>
  <si>
    <t>1,34*3,65+2,08*1,2</t>
  </si>
  <si>
    <t>(3,46*5,965)</t>
  </si>
  <si>
    <t>1,3*2,295+2,16*3,055</t>
  </si>
  <si>
    <t>114</t>
  </si>
  <si>
    <t>776421100RU1</t>
  </si>
  <si>
    <t>Lepení podlahových soklíků z PVC a vinylu</t>
  </si>
  <si>
    <t>včetně dodávky soklíku PVC</t>
  </si>
  <si>
    <t>(1,4+2,85)*2-0,8*4</t>
  </si>
  <si>
    <t>chodba</t>
  </si>
  <si>
    <t>(3,46+3,015)*2-0,8</t>
  </si>
  <si>
    <t>115</t>
  </si>
  <si>
    <t>776521200R00</t>
  </si>
  <si>
    <t>Lepení povlakových podlah z dílců PVC a CV (vinyl)</t>
  </si>
  <si>
    <t>3,99+10,43+20,64</t>
  </si>
  <si>
    <t>116</t>
  </si>
  <si>
    <t>776. 1</t>
  </si>
  <si>
    <t>Provedení spoje PVC - dlažba bez přechodových lišt</t>
  </si>
  <si>
    <t>117</t>
  </si>
  <si>
    <t>2841</t>
  </si>
  <si>
    <t>Dodávka podlahovina PVC - dle Standardu a vzorkování</t>
  </si>
  <si>
    <t>35,06*1,1</t>
  </si>
  <si>
    <t>118</t>
  </si>
  <si>
    <t>998776102R00</t>
  </si>
  <si>
    <t>Přesun hmot pro podlahy povlakové, výšky do 12 m</t>
  </si>
  <si>
    <t>777</t>
  </si>
  <si>
    <t>Podlahy ze syntetických hmot</t>
  </si>
  <si>
    <t>119</t>
  </si>
  <si>
    <t>777553010R00</t>
  </si>
  <si>
    <t>Penetrace savého podkladu disperzí</t>
  </si>
  <si>
    <t>777_</t>
  </si>
  <si>
    <t>120</t>
  </si>
  <si>
    <t>777553210R00</t>
  </si>
  <si>
    <t>Vyrovnání podlah, samonivel. hmota  tl. 2mm</t>
  </si>
  <si>
    <t>121</t>
  </si>
  <si>
    <t>998777102R00</t>
  </si>
  <si>
    <t>Přesun hmot pro podlahy syntetické, výšky do 12 m</t>
  </si>
  <si>
    <t>781</t>
  </si>
  <si>
    <t>Obklady (keramické)</t>
  </si>
  <si>
    <t>122</t>
  </si>
  <si>
    <t>781475115R00</t>
  </si>
  <si>
    <t>Obklad vnitřní stěn keramický, do tmele, 25x25 cm</t>
  </si>
  <si>
    <t>781_</t>
  </si>
  <si>
    <t>_78_</t>
  </si>
  <si>
    <t>(1,885+2,85)*2*2,1-0,8*2</t>
  </si>
  <si>
    <t>(2,6+0,8)*0,6</t>
  </si>
  <si>
    <t>0,6*0,85+0,2*0,85</t>
  </si>
  <si>
    <t>123</t>
  </si>
  <si>
    <t>781419711R00</t>
  </si>
  <si>
    <t>Příplatek k obkladu stěn za plochu do 10 m2 jedntl</t>
  </si>
  <si>
    <t>124</t>
  </si>
  <si>
    <t>781111111R00</t>
  </si>
  <si>
    <t>Řezání obkladaček diamantovým kotoučem</t>
  </si>
  <si>
    <t>4*2,1</t>
  </si>
  <si>
    <t>125</t>
  </si>
  <si>
    <t>781111116R00</t>
  </si>
  <si>
    <t>Otvor v obkladačce diamant.korunkou prům.do 90 mm</t>
  </si>
  <si>
    <t>126</t>
  </si>
  <si>
    <t>781497132RS4</t>
  </si>
  <si>
    <t>Lišta nerezová rohová k obkladům - dle standardů, dle vzorkování</t>
  </si>
  <si>
    <t>pro tloušťku obkladu 10 mm</t>
  </si>
  <si>
    <t>2,85</t>
  </si>
  <si>
    <t>vodorovně přizdívka</t>
  </si>
  <si>
    <t>127</t>
  </si>
  <si>
    <t>5978</t>
  </si>
  <si>
    <t>Obkládačka  200 x 250 mm, dle vzorkování</t>
  </si>
  <si>
    <t>21,007*1,1</t>
  </si>
  <si>
    <t>128</t>
  </si>
  <si>
    <t>998781102R00</t>
  </si>
  <si>
    <t>Přesun hmot pro obklady keramické, výšky do 12 m</t>
  </si>
  <si>
    <t>783</t>
  </si>
  <si>
    <t>Nátěry</t>
  </si>
  <si>
    <t>129</t>
  </si>
  <si>
    <t>783222100RV1</t>
  </si>
  <si>
    <t>Nátěr syntetický kovových konstrukcí dvojnásobný</t>
  </si>
  <si>
    <t>783_</t>
  </si>
  <si>
    <t>zárubně - dle standardů</t>
  </si>
  <si>
    <t>130</t>
  </si>
  <si>
    <t>7836</t>
  </si>
  <si>
    <t>Očištění radiátorů před nátěrem</t>
  </si>
  <si>
    <t>131</t>
  </si>
  <si>
    <t>783324140R00</t>
  </si>
  <si>
    <t>Nátěr syntetický litin. radiátorů 1x + 1x email</t>
  </si>
  <si>
    <t>784</t>
  </si>
  <si>
    <t>Malby</t>
  </si>
  <si>
    <t>132</t>
  </si>
  <si>
    <t>784402801R00</t>
  </si>
  <si>
    <t>Odstranění malby oškrábáním v místnosti H do 3,8 m</t>
  </si>
  <si>
    <t>784_</t>
  </si>
  <si>
    <t>40,43</t>
  </si>
  <si>
    <t>strop</t>
  </si>
  <si>
    <t>(1,985+2,85)*2,6</t>
  </si>
  <si>
    <t>(3,115*2+3,46)*2,6-2,6*1,5</t>
  </si>
  <si>
    <t>133</t>
  </si>
  <si>
    <t>784161401R00</t>
  </si>
  <si>
    <t>Penetrace podkladu nátěrem , 1 x</t>
  </si>
  <si>
    <t>134</t>
  </si>
  <si>
    <t>784165512R00</t>
  </si>
  <si>
    <t>Malba bílá, bez penetrace, 2 x - dle standardů</t>
  </si>
  <si>
    <t>41+95</t>
  </si>
  <si>
    <t>M21</t>
  </si>
  <si>
    <t>Elektromontáže</t>
  </si>
  <si>
    <t>135</t>
  </si>
  <si>
    <t>210. 1</t>
  </si>
  <si>
    <t>Montáž sporáku</t>
  </si>
  <si>
    <t>M21_</t>
  </si>
  <si>
    <t>136</t>
  </si>
  <si>
    <t>210. 2</t>
  </si>
  <si>
    <t>Sporák elektrický</t>
  </si>
  <si>
    <t>137</t>
  </si>
  <si>
    <t>210. 3</t>
  </si>
  <si>
    <t>D + M elektroinstalace dle PD</t>
  </si>
  <si>
    <t>138</t>
  </si>
  <si>
    <t>210. 4</t>
  </si>
  <si>
    <t>D + M požární hlásič bateriový - životnost baterie min. 5 let</t>
  </si>
  <si>
    <t>139</t>
  </si>
  <si>
    <t>210. 5</t>
  </si>
  <si>
    <t>Dod + montáž digestoře</t>
  </si>
  <si>
    <t>VORN</t>
  </si>
  <si>
    <t>03VRN</t>
  </si>
  <si>
    <t>140</t>
  </si>
  <si>
    <t>030001VRN</t>
  </si>
  <si>
    <t>Soubor</t>
  </si>
  <si>
    <t>03VRN_</t>
  </si>
  <si>
    <t>_Â _</t>
  </si>
  <si>
    <t>06VRN</t>
  </si>
  <si>
    <t>141</t>
  </si>
  <si>
    <t>065002VRN</t>
  </si>
  <si>
    <t>Mimostaveništní doprava</t>
  </si>
  <si>
    <t>06VRN_</t>
  </si>
</sst>
</file>

<file path=xl/styles.xml><?xml version="1.0" encoding="utf-8"?>
<styleSheet xmlns="http://schemas.openxmlformats.org/spreadsheetml/2006/main">
  <fonts count="15">
    <font>
      <sz val="11"/>
      <name val="Calibri"/>
      <charset val="1"/>
    </font>
    <font>
      <sz val="18"/>
      <color rgb="FF000000"/>
      <name val="Arial"/>
      <charset val="238"/>
    </font>
    <font>
      <sz val="10"/>
      <color rgb="FF000000"/>
      <name val="Arial"/>
      <charset val="238"/>
    </font>
    <font>
      <b/>
      <sz val="10"/>
      <color rgb="FF000000"/>
      <name val="Arial"/>
      <charset val="238"/>
    </font>
    <font>
      <b/>
      <sz val="18"/>
      <color rgb="FF000000"/>
      <name val="Arial"/>
      <charset val="238"/>
    </font>
    <font>
      <b/>
      <sz val="20"/>
      <color rgb="FF000000"/>
      <name val="Arial"/>
      <charset val="238"/>
    </font>
    <font>
      <b/>
      <sz val="11"/>
      <color rgb="FF000000"/>
      <name val="Arial"/>
      <charset val="238"/>
    </font>
    <font>
      <b/>
      <sz val="12"/>
      <color rgb="FF000000"/>
      <name val="Arial"/>
      <charset val="238"/>
    </font>
    <font>
      <sz val="12"/>
      <color rgb="FF000000"/>
      <name val="Arial"/>
      <charset val="238"/>
    </font>
    <font>
      <i/>
      <sz val="8"/>
      <color rgb="FF000000"/>
      <name val="Arial"/>
      <charset val="238"/>
    </font>
    <font>
      <sz val="10"/>
      <color rgb="FF400040"/>
      <name val="Arial"/>
      <charset val="238"/>
    </font>
    <font>
      <b/>
      <sz val="10"/>
      <color rgb="FF400040"/>
      <name val="Arial"/>
      <charset val="238"/>
    </font>
    <font>
      <i/>
      <sz val="10"/>
      <color rgb="FF000000"/>
      <name val="Arial"/>
      <charset val="238"/>
    </font>
    <font>
      <i/>
      <sz val="10"/>
      <color rgb="FF400040"/>
      <name val="Arial"/>
      <charset val="238"/>
    </font>
    <font>
      <i/>
      <sz val="10"/>
      <color rgb="FF0000FF"/>
      <name val="Arial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CCFFFF"/>
        <bgColor rgb="FFCCFFFF"/>
      </patternFill>
    </fill>
    <fill>
      <patternFill patternType="solid">
        <fgColor rgb="FFEAEAEA"/>
        <bgColor rgb="FFEAEAEA"/>
      </patternFill>
    </fill>
    <fill>
      <patternFill patternType="solid">
        <fgColor rgb="FFCCFFFF"/>
        <bgColor rgb="FFCCFFFF"/>
      </patternFill>
    </fill>
  </fills>
  <borders count="7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157">
    <xf numFmtId="0" fontId="0" fillId="0" borderId="0" xfId="0"/>
    <xf numFmtId="0" fontId="2" fillId="0" borderId="5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left" vertical="center" wrapText="1"/>
    </xf>
    <xf numFmtId="0" fontId="2" fillId="0" borderId="7" xfId="0" applyNumberFormat="1" applyFont="1" applyFill="1" applyBorder="1" applyAlignment="1" applyProtection="1">
      <alignment horizontal="left" vertical="center"/>
    </xf>
    <xf numFmtId="0" fontId="2" fillId="0" borderId="8" xfId="0" applyNumberFormat="1" applyFont="1" applyFill="1" applyBorder="1" applyAlignment="1" applyProtection="1">
      <alignment horizontal="left" vertical="center"/>
    </xf>
    <xf numFmtId="0" fontId="5" fillId="2" borderId="11" xfId="0" applyNumberFormat="1" applyFont="1" applyFill="1" applyBorder="1" applyAlignment="1" applyProtection="1">
      <alignment horizontal="center" vertical="center"/>
    </xf>
    <xf numFmtId="0" fontId="5" fillId="2" borderId="14" xfId="0" applyNumberFormat="1" applyFont="1" applyFill="1" applyBorder="1" applyAlignment="1" applyProtection="1">
      <alignment horizontal="center" vertical="center"/>
    </xf>
    <xf numFmtId="0" fontId="7" fillId="0" borderId="15" xfId="0" applyNumberFormat="1" applyFont="1" applyFill="1" applyBorder="1" applyAlignment="1" applyProtection="1">
      <alignment horizontal="left" vertical="center"/>
    </xf>
    <xf numFmtId="0" fontId="8" fillId="0" borderId="16" xfId="0" applyNumberFormat="1" applyFont="1" applyFill="1" applyBorder="1" applyAlignment="1" applyProtection="1">
      <alignment horizontal="left" vertical="center"/>
    </xf>
    <xf numFmtId="4" fontId="8" fillId="0" borderId="16" xfId="0" applyNumberFormat="1" applyFont="1" applyFill="1" applyBorder="1" applyAlignment="1" applyProtection="1">
      <alignment horizontal="right" vertical="center"/>
    </xf>
    <xf numFmtId="0" fontId="8" fillId="0" borderId="16" xfId="0" applyNumberFormat="1" applyFont="1" applyFill="1" applyBorder="1" applyAlignment="1" applyProtection="1">
      <alignment horizontal="right" vertical="center"/>
    </xf>
    <xf numFmtId="0" fontId="7" fillId="0" borderId="19" xfId="0" applyNumberFormat="1" applyFont="1" applyFill="1" applyBorder="1" applyAlignment="1" applyProtection="1">
      <alignment horizontal="left" vertical="center"/>
    </xf>
    <xf numFmtId="4" fontId="8" fillId="0" borderId="23" xfId="0" applyNumberFormat="1" applyFont="1" applyFill="1" applyBorder="1" applyAlignment="1" applyProtection="1">
      <alignment horizontal="right" vertical="center"/>
    </xf>
    <xf numFmtId="0" fontId="8" fillId="0" borderId="23" xfId="0" applyNumberFormat="1" applyFont="1" applyFill="1" applyBorder="1" applyAlignment="1" applyProtection="1">
      <alignment horizontal="right" vertical="center"/>
    </xf>
    <xf numFmtId="4" fontId="8" fillId="0" borderId="14" xfId="0" applyNumberFormat="1" applyFont="1" applyFill="1" applyBorder="1" applyAlignment="1" applyProtection="1">
      <alignment horizontal="right" vertical="center"/>
    </xf>
    <xf numFmtId="4" fontId="8" fillId="0" borderId="26" xfId="0" applyNumberFormat="1" applyFont="1" applyFill="1" applyBorder="1" applyAlignment="1" applyProtection="1">
      <alignment horizontal="right" vertical="center"/>
    </xf>
    <xf numFmtId="4" fontId="7" fillId="2" borderId="13" xfId="0" applyNumberFormat="1" applyFont="1" applyFill="1" applyBorder="1" applyAlignment="1" applyProtection="1">
      <alignment horizontal="right" vertical="center"/>
    </xf>
    <xf numFmtId="4" fontId="7" fillId="2" borderId="18" xfId="0" applyNumberFormat="1" applyFont="1" applyFill="1" applyBorder="1" applyAlignment="1" applyProtection="1">
      <alignment horizontal="right" vertical="center"/>
    </xf>
    <xf numFmtId="0" fontId="9" fillId="0" borderId="40" xfId="0" applyNumberFormat="1" applyFont="1" applyFill="1" applyBorder="1" applyAlignment="1" applyProtection="1">
      <alignment horizontal="left" vertical="center"/>
    </xf>
    <xf numFmtId="0" fontId="3" fillId="0" borderId="45" xfId="0" applyNumberFormat="1" applyFont="1" applyFill="1" applyBorder="1" applyAlignment="1" applyProtection="1">
      <alignment horizontal="right" vertical="center"/>
    </xf>
    <xf numFmtId="4" fontId="2" fillId="0" borderId="16" xfId="0" applyNumberFormat="1" applyFont="1" applyFill="1" applyBorder="1" applyAlignment="1" applyProtection="1">
      <alignment horizontal="right" vertical="center"/>
    </xf>
    <xf numFmtId="0" fontId="2" fillId="0" borderId="16" xfId="0" applyNumberFormat="1" applyFont="1" applyFill="1" applyBorder="1" applyAlignment="1" applyProtection="1">
      <alignment horizontal="left" vertical="center"/>
    </xf>
    <xf numFmtId="4" fontId="2" fillId="0" borderId="49" xfId="0" applyNumberFormat="1" applyFont="1" applyFill="1" applyBorder="1" applyAlignment="1" applyProtection="1">
      <alignment horizontal="right" vertical="center"/>
    </xf>
    <xf numFmtId="0" fontId="2" fillId="0" borderId="49" xfId="0" applyNumberFormat="1" applyFont="1" applyFill="1" applyBorder="1" applyAlignment="1" applyProtection="1">
      <alignment horizontal="left" vertical="center"/>
    </xf>
    <xf numFmtId="0" fontId="3" fillId="0" borderId="53" xfId="0" applyNumberFormat="1" applyFont="1" applyFill="1" applyBorder="1" applyAlignment="1" applyProtection="1">
      <alignment horizontal="left" vertical="center"/>
    </xf>
    <xf numFmtId="0" fontId="3" fillId="0" borderId="53" xfId="0" applyNumberFormat="1" applyFont="1" applyFill="1" applyBorder="1" applyAlignment="1" applyProtection="1">
      <alignment horizontal="right" vertical="center"/>
    </xf>
    <xf numFmtId="4" fontId="3" fillId="0" borderId="53" xfId="0" applyNumberFormat="1" applyFont="1" applyFill="1" applyBorder="1" applyAlignment="1" applyProtection="1">
      <alignment horizontal="right" vertical="center"/>
    </xf>
    <xf numFmtId="4" fontId="3" fillId="2" borderId="0" xfId="0" applyNumberFormat="1" applyFont="1" applyFill="1" applyBorder="1" applyAlignment="1" applyProtection="1">
      <alignment horizontal="right" vertical="center"/>
    </xf>
    <xf numFmtId="0" fontId="3" fillId="0" borderId="56" xfId="0" applyNumberFormat="1" applyFont="1" applyFill="1" applyBorder="1" applyAlignment="1" applyProtection="1">
      <alignment horizontal="left" vertical="center"/>
    </xf>
    <xf numFmtId="0" fontId="3" fillId="0" borderId="57" xfId="0" applyNumberFormat="1" applyFont="1" applyFill="1" applyBorder="1" applyAlignment="1" applyProtection="1">
      <alignment horizontal="left" vertical="center"/>
    </xf>
    <xf numFmtId="0" fontId="3" fillId="0" borderId="57" xfId="0" applyNumberFormat="1" applyFont="1" applyFill="1" applyBorder="1" applyAlignment="1" applyProtection="1">
      <alignment horizontal="center" vertical="center"/>
    </xf>
    <xf numFmtId="0" fontId="3" fillId="3" borderId="60" xfId="0" applyNumberFormat="1" applyFont="1" applyFill="1" applyBorder="1" applyAlignment="1" applyProtection="1">
      <alignment horizontal="center" vertical="center"/>
      <protection locked="0"/>
    </xf>
    <xf numFmtId="0" fontId="3" fillId="0" borderId="61" xfId="0" applyNumberFormat="1" applyFont="1" applyFill="1" applyBorder="1" applyAlignment="1" applyProtection="1">
      <alignment horizontal="center" vertical="center"/>
    </xf>
    <xf numFmtId="0" fontId="0" fillId="0" borderId="62" xfId="0" applyNumberFormat="1" applyFont="1" applyFill="1" applyBorder="1" applyAlignment="1" applyProtection="1"/>
    <xf numFmtId="0" fontId="3" fillId="2" borderId="0" xfId="0" applyNumberFormat="1" applyFont="1" applyFill="1" applyBorder="1" applyAlignment="1" applyProtection="1">
      <alignment horizontal="right" vertical="center"/>
    </xf>
    <xf numFmtId="0" fontId="3" fillId="0" borderId="0" xfId="0" applyNumberFormat="1" applyFont="1" applyFill="1" applyBorder="1" applyAlignment="1" applyProtection="1">
      <alignment horizontal="right" vertical="center"/>
    </xf>
    <xf numFmtId="0" fontId="2" fillId="0" borderId="63" xfId="0" applyNumberFormat="1" applyFont="1" applyFill="1" applyBorder="1" applyAlignment="1" applyProtection="1">
      <alignment horizontal="left" vertical="center"/>
    </xf>
    <xf numFmtId="0" fontId="2" fillId="0" borderId="64" xfId="0" applyNumberFormat="1" applyFont="1" applyFill="1" applyBorder="1" applyAlignment="1" applyProtection="1">
      <alignment horizontal="left" vertical="center"/>
    </xf>
    <xf numFmtId="0" fontId="3" fillId="3" borderId="64" xfId="0" applyNumberFormat="1" applyFont="1" applyFill="1" applyBorder="1" applyAlignment="1" applyProtection="1">
      <alignment horizontal="center" vertical="center"/>
      <protection locked="0"/>
    </xf>
    <xf numFmtId="0" fontId="3" fillId="0" borderId="67" xfId="0" applyNumberFormat="1" applyFont="1" applyFill="1" applyBorder="1" applyAlignment="1" applyProtection="1">
      <alignment horizontal="center" vertical="center"/>
    </xf>
    <xf numFmtId="0" fontId="0" fillId="0" borderId="6" xfId="0" applyNumberFormat="1" applyFont="1" applyFill="1" applyBorder="1" applyAlignment="1" applyProtection="1"/>
    <xf numFmtId="0" fontId="10" fillId="4" borderId="68" xfId="0" applyNumberFormat="1" applyFont="1" applyFill="1" applyBorder="1" applyAlignment="1" applyProtection="1">
      <alignment horizontal="left" vertical="center"/>
    </xf>
    <xf numFmtId="0" fontId="11" fillId="4" borderId="40" xfId="0" applyNumberFormat="1" applyFont="1" applyFill="1" applyBorder="1" applyAlignment="1" applyProtection="1">
      <alignment horizontal="left" vertical="center"/>
    </xf>
    <xf numFmtId="0" fontId="10" fillId="4" borderId="40" xfId="0" applyNumberFormat="1" applyFont="1" applyFill="1" applyBorder="1" applyAlignment="1" applyProtection="1">
      <alignment horizontal="left" vertical="center"/>
    </xf>
    <xf numFmtId="0" fontId="10" fillId="5" borderId="40" xfId="0" applyNumberFormat="1" applyFont="1" applyFill="1" applyBorder="1" applyAlignment="1" applyProtection="1">
      <alignment horizontal="left" vertical="center"/>
      <protection locked="0"/>
    </xf>
    <xf numFmtId="4" fontId="11" fillId="4" borderId="40" xfId="0" applyNumberFormat="1" applyFont="1" applyFill="1" applyBorder="1" applyAlignment="1" applyProtection="1">
      <alignment horizontal="right" vertical="center"/>
    </xf>
    <xf numFmtId="0" fontId="2" fillId="2" borderId="5" xfId="0" applyNumberFormat="1" applyFont="1" applyFill="1" applyBorder="1" applyAlignment="1" applyProtection="1">
      <alignment horizontal="left" vertical="center"/>
    </xf>
    <xf numFmtId="0" fontId="3" fillId="2" borderId="0" xfId="0" applyNumberFormat="1" applyFont="1" applyFill="1" applyBorder="1" applyAlignment="1" applyProtection="1">
      <alignment horizontal="left" vertical="center"/>
    </xf>
    <xf numFmtId="0" fontId="2" fillId="2" borderId="0" xfId="0" applyNumberFormat="1" applyFont="1" applyFill="1" applyBorder="1" applyAlignment="1" applyProtection="1">
      <alignment horizontal="left" vertical="center"/>
    </xf>
    <xf numFmtId="0" fontId="2" fillId="5" borderId="0" xfId="0" applyNumberFormat="1" applyFont="1" applyFill="1" applyBorder="1" applyAlignment="1" applyProtection="1">
      <alignment horizontal="left" vertical="center"/>
      <protection locked="0"/>
    </xf>
    <xf numFmtId="4" fontId="2" fillId="0" borderId="0" xfId="0" applyNumberFormat="1" applyFont="1" applyFill="1" applyBorder="1" applyAlignment="1" applyProtection="1">
      <alignment horizontal="right" vertical="center"/>
    </xf>
    <xf numFmtId="4" fontId="2" fillId="3" borderId="0" xfId="0" applyNumberFormat="1" applyFont="1" applyFill="1" applyBorder="1" applyAlignment="1" applyProtection="1">
      <alignment horizontal="right" vertical="center"/>
      <protection locked="0"/>
    </xf>
    <xf numFmtId="0" fontId="2" fillId="0" borderId="0" xfId="0" applyNumberFormat="1" applyFont="1" applyFill="1" applyBorder="1" applyAlignment="1" applyProtection="1">
      <alignment horizontal="right" vertical="center"/>
    </xf>
    <xf numFmtId="0" fontId="0" fillId="0" borderId="5" xfId="0" applyNumberFormat="1" applyFont="1" applyFill="1" applyBorder="1" applyAlignment="1" applyProtection="1"/>
    <xf numFmtId="0" fontId="12" fillId="0" borderId="0" xfId="0" applyNumberFormat="1" applyFont="1" applyFill="1" applyBorder="1" applyAlignment="1" applyProtection="1">
      <alignment horizontal="right" vertical="center"/>
    </xf>
    <xf numFmtId="0" fontId="13" fillId="0" borderId="0" xfId="0" applyNumberFormat="1" applyFont="1" applyFill="1" applyBorder="1" applyAlignment="1" applyProtection="1">
      <alignment horizontal="left" vertical="center"/>
    </xf>
    <xf numFmtId="0" fontId="14" fillId="0" borderId="0" xfId="0" applyNumberFormat="1" applyFont="1" applyFill="1" applyBorder="1" applyAlignment="1" applyProtection="1">
      <alignment horizontal="left" vertical="center"/>
    </xf>
    <xf numFmtId="4" fontId="13" fillId="0" borderId="0" xfId="0" applyNumberFormat="1" applyFont="1" applyFill="1" applyBorder="1" applyAlignment="1" applyProtection="1">
      <alignment horizontal="right" vertical="center"/>
    </xf>
    <xf numFmtId="4" fontId="2" fillId="0" borderId="8" xfId="0" applyNumberFormat="1" applyFont="1" applyFill="1" applyBorder="1" applyAlignment="1" applyProtection="1">
      <alignment horizontal="right" vertical="center"/>
    </xf>
    <xf numFmtId="4" fontId="2" fillId="3" borderId="8" xfId="0" applyNumberFormat="1" applyFont="1" applyFill="1" applyBorder="1" applyAlignment="1" applyProtection="1">
      <alignment horizontal="right" vertical="center"/>
      <protection locked="0"/>
    </xf>
    <xf numFmtId="0" fontId="0" fillId="0" borderId="8" xfId="0" applyNumberFormat="1" applyFont="1" applyFill="1" applyBorder="1" applyAlignment="1" applyProtection="1"/>
    <xf numFmtId="0" fontId="0" fillId="0" borderId="9" xfId="0" applyNumberFormat="1" applyFont="1" applyFill="1" applyBorder="1" applyAlignment="1" applyProtection="1"/>
    <xf numFmtId="4" fontId="3" fillId="0" borderId="69" xfId="0" applyNumberFormat="1" applyFont="1" applyFill="1" applyBorder="1" applyAlignment="1" applyProtection="1">
      <alignment horizontal="right" vertical="center"/>
    </xf>
    <xf numFmtId="0" fontId="9" fillId="0" borderId="0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2" fillId="0" borderId="2" xfId="0" applyNumberFormat="1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/>
    </xf>
    <xf numFmtId="0" fontId="2" fillId="0" borderId="5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left" vertical="center"/>
    </xf>
    <xf numFmtId="0" fontId="2" fillId="0" borderId="5" xfId="0" applyNumberFormat="1" applyFont="1" applyFill="1" applyBorder="1" applyAlignment="1" applyProtection="1">
      <alignment horizontal="left" vertical="center" wrapText="1"/>
    </xf>
    <xf numFmtId="0" fontId="2" fillId="0" borderId="7" xfId="0" applyNumberFormat="1" applyFont="1" applyFill="1" applyBorder="1" applyAlignment="1" applyProtection="1">
      <alignment horizontal="left" vertical="center"/>
    </xf>
    <xf numFmtId="0" fontId="2" fillId="0" borderId="8" xfId="0" applyNumberFormat="1" applyFont="1" applyFill="1" applyBorder="1" applyAlignment="1" applyProtection="1">
      <alignment horizontal="left" vertical="center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left" vertical="center" wrapText="1"/>
    </xf>
    <xf numFmtId="0" fontId="3" fillId="0" borderId="3" xfId="0" applyNumberFormat="1" applyFont="1" applyFill="1" applyBorder="1" applyAlignment="1" applyProtection="1">
      <alignment horizontal="left" vertical="center" wrapText="1"/>
    </xf>
    <xf numFmtId="0" fontId="3" fillId="0" borderId="3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left" vertical="center"/>
    </xf>
    <xf numFmtId="0" fontId="2" fillId="0" borderId="4" xfId="0" applyNumberFormat="1" applyFont="1" applyFill="1" applyBorder="1" applyAlignment="1" applyProtection="1">
      <alignment horizontal="left" vertical="center"/>
    </xf>
    <xf numFmtId="0" fontId="2" fillId="0" borderId="6" xfId="0" applyNumberFormat="1" applyFont="1" applyFill="1" applyBorder="1" applyAlignment="1" applyProtection="1">
      <alignment horizontal="left" vertical="center"/>
    </xf>
    <xf numFmtId="1" fontId="2" fillId="0" borderId="6" xfId="0" applyNumberFormat="1" applyFont="1" applyFill="1" applyBorder="1" applyAlignment="1" applyProtection="1">
      <alignment horizontal="left" vertical="center"/>
    </xf>
    <xf numFmtId="0" fontId="2" fillId="0" borderId="6" xfId="0" applyNumberFormat="1" applyFont="1" applyFill="1" applyBorder="1" applyAlignment="1" applyProtection="1">
      <alignment horizontal="left" vertical="center" wrapText="1"/>
    </xf>
    <xf numFmtId="0" fontId="2" fillId="0" borderId="9" xfId="0" applyNumberFormat="1" applyFont="1" applyFill="1" applyBorder="1" applyAlignment="1" applyProtection="1">
      <alignment horizontal="left" vertical="center"/>
    </xf>
    <xf numFmtId="0" fontId="4" fillId="0" borderId="10" xfId="0" applyNumberFormat="1" applyFont="1" applyFill="1" applyBorder="1" applyAlignment="1" applyProtection="1">
      <alignment horizontal="center" vertical="center"/>
    </xf>
    <xf numFmtId="0" fontId="6" fillId="0" borderId="12" xfId="0" applyNumberFormat="1" applyFont="1" applyFill="1" applyBorder="1" applyAlignment="1" applyProtection="1">
      <alignment horizontal="left" vertical="center"/>
    </xf>
    <xf numFmtId="0" fontId="6" fillId="0" borderId="13" xfId="0" applyNumberFormat="1" applyFont="1" applyFill="1" applyBorder="1" applyAlignment="1" applyProtection="1">
      <alignment horizontal="left" vertical="center"/>
    </xf>
    <xf numFmtId="0" fontId="7" fillId="0" borderId="20" xfId="0" applyNumberFormat="1" applyFont="1" applyFill="1" applyBorder="1" applyAlignment="1" applyProtection="1">
      <alignment horizontal="left" vertical="center"/>
    </xf>
    <xf numFmtId="0" fontId="7" fillId="0" borderId="18" xfId="0" applyNumberFormat="1" applyFont="1" applyFill="1" applyBorder="1" applyAlignment="1" applyProtection="1">
      <alignment horizontal="left" vertical="center"/>
    </xf>
    <xf numFmtId="0" fontId="7" fillId="0" borderId="21" xfId="0" applyNumberFormat="1" applyFont="1" applyFill="1" applyBorder="1" applyAlignment="1" applyProtection="1">
      <alignment horizontal="left" vertical="center"/>
    </xf>
    <xf numFmtId="0" fontId="7" fillId="0" borderId="22" xfId="0" applyNumberFormat="1" applyFont="1" applyFill="1" applyBorder="1" applyAlignment="1" applyProtection="1">
      <alignment horizontal="left" vertical="center"/>
    </xf>
    <xf numFmtId="0" fontId="7" fillId="0" borderId="25" xfId="0" applyNumberFormat="1" applyFont="1" applyFill="1" applyBorder="1" applyAlignment="1" applyProtection="1">
      <alignment horizontal="left" vertical="center"/>
    </xf>
    <xf numFmtId="0" fontId="7" fillId="0" borderId="13" xfId="0" applyNumberFormat="1" applyFont="1" applyFill="1" applyBorder="1" applyAlignment="1" applyProtection="1">
      <alignment horizontal="left" vertical="center"/>
    </xf>
    <xf numFmtId="0" fontId="8" fillId="0" borderId="17" xfId="0" applyNumberFormat="1" applyFont="1" applyFill="1" applyBorder="1" applyAlignment="1" applyProtection="1">
      <alignment horizontal="left" vertical="center"/>
    </xf>
    <xf numFmtId="0" fontId="8" fillId="0" borderId="18" xfId="0" applyNumberFormat="1" applyFont="1" applyFill="1" applyBorder="1" applyAlignment="1" applyProtection="1">
      <alignment horizontal="left" vertical="center"/>
    </xf>
    <xf numFmtId="0" fontId="8" fillId="0" borderId="24" xfId="0" applyNumberFormat="1" applyFont="1" applyFill="1" applyBorder="1" applyAlignment="1" applyProtection="1">
      <alignment horizontal="left" vertical="center"/>
    </xf>
    <xf numFmtId="0" fontId="8" fillId="0" borderId="22" xfId="0" applyNumberFormat="1" applyFont="1" applyFill="1" applyBorder="1" applyAlignment="1" applyProtection="1">
      <alignment horizontal="left" vertical="center"/>
    </xf>
    <xf numFmtId="0" fontId="7" fillId="0" borderId="12" xfId="0" applyNumberFormat="1" applyFont="1" applyFill="1" applyBorder="1" applyAlignment="1" applyProtection="1">
      <alignment horizontal="left" vertical="center"/>
    </xf>
    <xf numFmtId="0" fontId="7" fillId="0" borderId="17" xfId="0" applyNumberFormat="1" applyFont="1" applyFill="1" applyBorder="1" applyAlignment="1" applyProtection="1">
      <alignment horizontal="left" vertical="center"/>
    </xf>
    <xf numFmtId="0" fontId="7" fillId="2" borderId="25" xfId="0" applyNumberFormat="1" applyFont="1" applyFill="1" applyBorder="1" applyAlignment="1" applyProtection="1">
      <alignment horizontal="left" vertical="center"/>
    </xf>
    <xf numFmtId="0" fontId="7" fillId="2" borderId="27" xfId="0" applyNumberFormat="1" applyFont="1" applyFill="1" applyBorder="1" applyAlignment="1" applyProtection="1">
      <alignment horizontal="left" vertical="center"/>
    </xf>
    <xf numFmtId="0" fontId="7" fillId="2" borderId="20" xfId="0" applyNumberFormat="1" applyFont="1" applyFill="1" applyBorder="1" applyAlignment="1" applyProtection="1">
      <alignment horizontal="left" vertical="center"/>
    </xf>
    <xf numFmtId="0" fontId="7" fillId="2" borderId="28" xfId="0" applyNumberFormat="1" applyFont="1" applyFill="1" applyBorder="1" applyAlignment="1" applyProtection="1">
      <alignment horizontal="left" vertical="center"/>
    </xf>
    <xf numFmtId="0" fontId="7" fillId="2" borderId="12" xfId="0" applyNumberFormat="1" applyFont="1" applyFill="1" applyBorder="1" applyAlignment="1" applyProtection="1">
      <alignment horizontal="left" vertical="center"/>
    </xf>
    <xf numFmtId="0" fontId="7" fillId="2" borderId="17" xfId="0" applyNumberFormat="1" applyFont="1" applyFill="1" applyBorder="1" applyAlignment="1" applyProtection="1">
      <alignment horizontal="left" vertical="center"/>
    </xf>
    <xf numFmtId="0" fontId="8" fillId="0" borderId="29" xfId="0" applyNumberFormat="1" applyFont="1" applyFill="1" applyBorder="1" applyAlignment="1" applyProtection="1">
      <alignment horizontal="left" vertical="center"/>
    </xf>
    <xf numFmtId="0" fontId="8" fillId="0" borderId="30" xfId="0" applyNumberFormat="1" applyFont="1" applyFill="1" applyBorder="1" applyAlignment="1" applyProtection="1">
      <alignment horizontal="left" vertical="center"/>
    </xf>
    <xf numFmtId="0" fontId="8" fillId="0" borderId="31" xfId="0" applyNumberFormat="1" applyFont="1" applyFill="1" applyBorder="1" applyAlignment="1" applyProtection="1">
      <alignment horizontal="left" vertical="center"/>
    </xf>
    <xf numFmtId="0" fontId="8" fillId="0" borderId="33" xfId="0" applyNumberFormat="1" applyFont="1" applyFill="1" applyBorder="1" applyAlignment="1" applyProtection="1">
      <alignment horizontal="left" vertical="center"/>
    </xf>
    <xf numFmtId="0" fontId="8" fillId="0" borderId="0" xfId="0" applyNumberFormat="1" applyFont="1" applyFill="1" applyBorder="1" applyAlignment="1" applyProtection="1">
      <alignment horizontal="left" vertical="center"/>
    </xf>
    <xf numFmtId="0" fontId="8" fillId="0" borderId="34" xfId="0" applyNumberFormat="1" applyFont="1" applyFill="1" applyBorder="1" applyAlignment="1" applyProtection="1">
      <alignment horizontal="left" vertical="center"/>
    </xf>
    <xf numFmtId="0" fontId="8" fillId="0" borderId="36" xfId="0" applyNumberFormat="1" applyFont="1" applyFill="1" applyBorder="1" applyAlignment="1" applyProtection="1">
      <alignment horizontal="left" vertical="center"/>
    </xf>
    <xf numFmtId="0" fontId="8" fillId="0" borderId="37" xfId="0" applyNumberFormat="1" applyFont="1" applyFill="1" applyBorder="1" applyAlignment="1" applyProtection="1">
      <alignment horizontal="left" vertical="center"/>
    </xf>
    <xf numFmtId="0" fontId="8" fillId="0" borderId="38" xfId="0" applyNumberFormat="1" applyFont="1" applyFill="1" applyBorder="1" applyAlignment="1" applyProtection="1">
      <alignment horizontal="left" vertical="center"/>
    </xf>
    <xf numFmtId="0" fontId="8" fillId="0" borderId="32" xfId="0" applyNumberFormat="1" applyFont="1" applyFill="1" applyBorder="1" applyAlignment="1" applyProtection="1">
      <alignment horizontal="left" vertical="center"/>
    </xf>
    <xf numFmtId="0" fontId="8" fillId="0" borderId="35" xfId="0" applyNumberFormat="1" applyFont="1" applyFill="1" applyBorder="1" applyAlignment="1" applyProtection="1">
      <alignment horizontal="left" vertical="center"/>
    </xf>
    <xf numFmtId="0" fontId="8" fillId="0" borderId="39" xfId="0" applyNumberFormat="1" applyFont="1" applyFill="1" applyBorder="1" applyAlignment="1" applyProtection="1">
      <alignment horizontal="left" vertical="center"/>
    </xf>
    <xf numFmtId="0" fontId="7" fillId="0" borderId="41" xfId="0" applyNumberFormat="1" applyFont="1" applyFill="1" applyBorder="1" applyAlignment="1" applyProtection="1">
      <alignment horizontal="left" vertical="center"/>
    </xf>
    <xf numFmtId="0" fontId="3" fillId="0" borderId="42" xfId="0" applyNumberFormat="1" applyFont="1" applyFill="1" applyBorder="1" applyAlignment="1" applyProtection="1">
      <alignment horizontal="left" vertical="center"/>
    </xf>
    <xf numFmtId="0" fontId="3" fillId="0" borderId="43" xfId="0" applyNumberFormat="1" applyFont="1" applyFill="1" applyBorder="1" applyAlignment="1" applyProtection="1">
      <alignment horizontal="left" vertical="center"/>
    </xf>
    <xf numFmtId="0" fontId="3" fillId="0" borderId="44" xfId="0" applyNumberFormat="1" applyFont="1" applyFill="1" applyBorder="1" applyAlignment="1" applyProtection="1">
      <alignment horizontal="left" vertical="center"/>
    </xf>
    <xf numFmtId="0" fontId="2" fillId="0" borderId="20" xfId="0" applyNumberFormat="1" applyFont="1" applyFill="1" applyBorder="1" applyAlignment="1" applyProtection="1">
      <alignment horizontal="left" vertical="center"/>
    </xf>
    <xf numFmtId="0" fontId="2" fillId="0" borderId="28" xfId="0" applyNumberFormat="1" applyFont="1" applyFill="1" applyBorder="1" applyAlignment="1" applyProtection="1">
      <alignment horizontal="left" vertical="center"/>
    </xf>
    <xf numFmtId="0" fontId="2" fillId="0" borderId="18" xfId="0" applyNumberFormat="1" applyFont="1" applyFill="1" applyBorder="1" applyAlignment="1" applyProtection="1">
      <alignment horizontal="left" vertical="center"/>
    </xf>
    <xf numFmtId="0" fontId="2" fillId="0" borderId="46" xfId="0" applyNumberFormat="1" applyFont="1" applyFill="1" applyBorder="1" applyAlignment="1" applyProtection="1">
      <alignment horizontal="left" vertical="center"/>
    </xf>
    <xf numFmtId="0" fontId="2" fillId="0" borderId="47" xfId="0" applyNumberFormat="1" applyFont="1" applyFill="1" applyBorder="1" applyAlignment="1" applyProtection="1">
      <alignment horizontal="left" vertical="center"/>
    </xf>
    <xf numFmtId="0" fontId="2" fillId="0" borderId="48" xfId="0" applyNumberFormat="1" applyFont="1" applyFill="1" applyBorder="1" applyAlignment="1" applyProtection="1">
      <alignment horizontal="left" vertical="center"/>
    </xf>
    <xf numFmtId="0" fontId="3" fillId="0" borderId="50" xfId="0" applyNumberFormat="1" applyFont="1" applyFill="1" applyBorder="1" applyAlignment="1" applyProtection="1">
      <alignment horizontal="left" vertical="center"/>
    </xf>
    <xf numFmtId="0" fontId="3" fillId="0" borderId="51" xfId="0" applyNumberFormat="1" applyFont="1" applyFill="1" applyBorder="1" applyAlignment="1" applyProtection="1">
      <alignment horizontal="left" vertical="center"/>
    </xf>
    <xf numFmtId="0" fontId="3" fillId="0" borderId="52" xfId="0" applyNumberFormat="1" applyFont="1" applyFill="1" applyBorder="1" applyAlignment="1" applyProtection="1">
      <alignment horizontal="left" vertical="center"/>
    </xf>
    <xf numFmtId="0" fontId="7" fillId="0" borderId="50" xfId="0" applyNumberFormat="1" applyFont="1" applyFill="1" applyBorder="1" applyAlignment="1" applyProtection="1">
      <alignment horizontal="left" vertical="center"/>
    </xf>
    <xf numFmtId="0" fontId="7" fillId="0" borderId="51" xfId="0" applyNumberFormat="1" applyFont="1" applyFill="1" applyBorder="1" applyAlignment="1" applyProtection="1">
      <alignment horizontal="left" vertical="center"/>
    </xf>
    <xf numFmtId="0" fontId="7" fillId="0" borderId="52" xfId="0" applyNumberFormat="1" applyFont="1" applyFill="1" applyBorder="1" applyAlignment="1" applyProtection="1">
      <alignment horizontal="left" vertical="center"/>
    </xf>
    <xf numFmtId="4" fontId="7" fillId="0" borderId="54" xfId="0" applyNumberFormat="1" applyFont="1" applyFill="1" applyBorder="1" applyAlignment="1" applyProtection="1">
      <alignment horizontal="right" vertical="center"/>
    </xf>
    <xf numFmtId="0" fontId="7" fillId="0" borderId="51" xfId="0" applyNumberFormat="1" applyFont="1" applyFill="1" applyBorder="1" applyAlignment="1" applyProtection="1">
      <alignment horizontal="right" vertical="center"/>
    </xf>
    <xf numFmtId="0" fontId="7" fillId="0" borderId="52" xfId="0" applyNumberFormat="1" applyFont="1" applyFill="1" applyBorder="1" applyAlignment="1" applyProtection="1">
      <alignment horizontal="right" vertical="center"/>
    </xf>
    <xf numFmtId="0" fontId="2" fillId="0" borderId="55" xfId="0" applyNumberFormat="1" applyFont="1" applyFill="1" applyBorder="1" applyAlignment="1" applyProtection="1">
      <alignment horizontal="left" vertical="center"/>
    </xf>
    <xf numFmtId="0" fontId="2" fillId="0" borderId="41" xfId="0" applyNumberFormat="1" applyFont="1" applyFill="1" applyBorder="1" applyAlignment="1" applyProtection="1">
      <alignment horizontal="left" vertical="center"/>
    </xf>
    <xf numFmtId="0" fontId="2" fillId="3" borderId="3" xfId="0" applyNumberFormat="1" applyFont="1" applyFill="1" applyBorder="1" applyAlignment="1" applyProtection="1">
      <alignment horizontal="left" vertical="center"/>
      <protection locked="0"/>
    </xf>
    <xf numFmtId="0" fontId="2" fillId="3" borderId="0" xfId="0" applyNumberFormat="1" applyFont="1" applyFill="1" applyBorder="1" applyAlignment="1" applyProtection="1">
      <alignment horizontal="left" vertical="center"/>
      <protection locked="0"/>
    </xf>
    <xf numFmtId="0" fontId="2" fillId="3" borderId="41" xfId="0" applyNumberFormat="1" applyFont="1" applyFill="1" applyBorder="1" applyAlignment="1" applyProtection="1">
      <alignment horizontal="left" vertical="center"/>
      <protection locked="0"/>
    </xf>
    <xf numFmtId="0" fontId="2" fillId="3" borderId="6" xfId="0" applyNumberFormat="1" applyFont="1" applyFill="1" applyBorder="1" applyAlignment="1" applyProtection="1">
      <alignment horizontal="left" vertical="center"/>
      <protection locked="0"/>
    </xf>
    <xf numFmtId="0" fontId="2" fillId="3" borderId="8" xfId="0" applyNumberFormat="1" applyFont="1" applyFill="1" applyBorder="1" applyAlignment="1" applyProtection="1">
      <alignment horizontal="left" vertical="center"/>
      <protection locked="0"/>
    </xf>
    <xf numFmtId="0" fontId="2" fillId="3" borderId="9" xfId="0" applyNumberFormat="1" applyFont="1" applyFill="1" applyBorder="1" applyAlignment="1" applyProtection="1">
      <alignment horizontal="left" vertical="center"/>
      <protection locked="0"/>
    </xf>
    <xf numFmtId="0" fontId="3" fillId="0" borderId="58" xfId="0" applyNumberFormat="1" applyFont="1" applyFill="1" applyBorder="1" applyAlignment="1" applyProtection="1">
      <alignment horizontal="left" vertical="center"/>
    </xf>
    <xf numFmtId="0" fontId="3" fillId="0" borderId="59" xfId="0" applyNumberFormat="1" applyFont="1" applyFill="1" applyBorder="1" applyAlignment="1" applyProtection="1">
      <alignment horizontal="left" vertical="center"/>
    </xf>
    <xf numFmtId="0" fontId="3" fillId="0" borderId="65" xfId="0" applyNumberFormat="1" applyFont="1" applyFill="1" applyBorder="1" applyAlignment="1" applyProtection="1">
      <alignment horizontal="left" vertical="center"/>
    </xf>
    <xf numFmtId="0" fontId="3" fillId="0" borderId="66" xfId="0" applyNumberFormat="1" applyFont="1" applyFill="1" applyBorder="1" applyAlignment="1" applyProtection="1">
      <alignment horizontal="left" vertical="center"/>
    </xf>
    <xf numFmtId="0" fontId="11" fillId="4" borderId="40" xfId="0" applyNumberFormat="1" applyFont="1" applyFill="1" applyBorder="1" applyAlignment="1" applyProtection="1">
      <alignment horizontal="left" vertical="center" wrapText="1"/>
    </xf>
    <xf numFmtId="0" fontId="11" fillId="4" borderId="40" xfId="0" applyNumberFormat="1" applyFont="1" applyFill="1" applyBorder="1" applyAlignment="1" applyProtection="1">
      <alignment horizontal="left" vertical="center"/>
    </xf>
    <xf numFmtId="0" fontId="3" fillId="2" borderId="0" xfId="0" applyNumberFormat="1" applyFont="1" applyFill="1" applyBorder="1" applyAlignment="1" applyProtection="1">
      <alignment horizontal="left" vertical="center" wrapText="1"/>
    </xf>
    <xf numFmtId="0" fontId="3" fillId="2" borderId="0" xfId="0" applyNumberFormat="1" applyFont="1" applyFill="1" applyBorder="1" applyAlignment="1" applyProtection="1">
      <alignment horizontal="left" vertical="center"/>
    </xf>
    <xf numFmtId="0" fontId="13" fillId="0" borderId="0" xfId="0" applyNumberFormat="1" applyFont="1" applyFill="1" applyBorder="1" applyAlignment="1" applyProtection="1">
      <alignment horizontal="left" vertical="center" wrapText="1"/>
    </xf>
    <xf numFmtId="0" fontId="13" fillId="0" borderId="0" xfId="0" applyNumberFormat="1" applyFont="1" applyFill="1" applyBorder="1" applyAlignment="1" applyProtection="1">
      <alignment horizontal="left" vertical="center"/>
    </xf>
    <xf numFmtId="0" fontId="13" fillId="3" borderId="0" xfId="0" applyNumberFormat="1" applyFont="1" applyFill="1" applyBorder="1" applyAlignment="1" applyProtection="1">
      <alignment horizontal="left" vertical="center"/>
      <protection locked="0"/>
    </xf>
    <xf numFmtId="0" fontId="13" fillId="0" borderId="6" xfId="0" applyNumberFormat="1" applyFont="1" applyFill="1" applyBorder="1" applyAlignment="1" applyProtection="1">
      <alignment horizontal="left" vertical="center"/>
    </xf>
    <xf numFmtId="0" fontId="2" fillId="0" borderId="8" xfId="0" applyNumberFormat="1" applyFont="1" applyFill="1" applyBorder="1" applyAlignment="1" applyProtection="1">
      <alignment horizontal="left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0" cy="0"/>
    <xdr:pic>
      <xdr:nvPicPr>
        <xdr:cNvPr id="0" name="Obrázek 429496729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0" cy="0"/>
    <xdr:pic>
      <xdr:nvPicPr>
        <xdr:cNvPr id="0" name="Obrázek 429496729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0" cy="0"/>
    <xdr:pic>
      <xdr:nvPicPr>
        <xdr:cNvPr id="0" name="Obrázek 429496729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7"/>
  <sheetViews>
    <sheetView tabSelected="1" workbookViewId="0">
      <selection activeCell="A37" sqref="A37:I37"/>
    </sheetView>
  </sheetViews>
  <sheetFormatPr defaultColWidth="12.140625" defaultRowHeight="15" customHeight="1"/>
  <cols>
    <col min="1" max="1" width="9.140625" customWidth="1"/>
    <col min="2" max="2" width="12.85546875" customWidth="1"/>
    <col min="3" max="3" width="27.140625" customWidth="1"/>
    <col min="4" max="4" width="10" customWidth="1"/>
    <col min="5" max="5" width="14" customWidth="1"/>
    <col min="6" max="6" width="27.140625" customWidth="1"/>
    <col min="7" max="7" width="9.140625" customWidth="1"/>
    <col min="8" max="8" width="12.85546875" customWidth="1"/>
    <col min="9" max="9" width="27.140625" customWidth="1"/>
  </cols>
  <sheetData>
    <row r="1" spans="1:9" ht="54.75" customHeight="1">
      <c r="A1" s="65" t="s">
        <v>0</v>
      </c>
      <c r="B1" s="66"/>
      <c r="C1" s="66"/>
      <c r="D1" s="66"/>
      <c r="E1" s="66"/>
      <c r="F1" s="66"/>
      <c r="G1" s="66"/>
      <c r="H1" s="66"/>
      <c r="I1" s="66"/>
    </row>
    <row r="2" spans="1:9">
      <c r="A2" s="67" t="s">
        <v>1</v>
      </c>
      <c r="B2" s="68"/>
      <c r="C2" s="76" t="str">
        <f>'Stavební rozpočet'!C2</f>
        <v>101-2025 Libušínská 203/11, byt č. 1 Žďár nad Sázavou</v>
      </c>
      <c r="D2" s="77"/>
      <c r="E2" s="74" t="s">
        <v>2</v>
      </c>
      <c r="F2" s="74" t="str">
        <f>'Stavební rozpočet'!I2</f>
        <v> </v>
      </c>
      <c r="G2" s="68"/>
      <c r="H2" s="74" t="s">
        <v>3</v>
      </c>
      <c r="I2" s="79" t="s">
        <v>4</v>
      </c>
    </row>
    <row r="3" spans="1:9" ht="15" customHeight="1">
      <c r="A3" s="69"/>
      <c r="B3" s="70"/>
      <c r="C3" s="78"/>
      <c r="D3" s="78"/>
      <c r="E3" s="70"/>
      <c r="F3" s="70"/>
      <c r="G3" s="70"/>
      <c r="H3" s="70"/>
      <c r="I3" s="80"/>
    </row>
    <row r="4" spans="1:9">
      <c r="A4" s="71" t="s">
        <v>5</v>
      </c>
      <c r="B4" s="70"/>
      <c r="C4" s="75" t="str">
        <f>'Stavební rozpočet'!C4</f>
        <v>Oprava bytu 1+1  1.NP</v>
      </c>
      <c r="D4" s="70"/>
      <c r="E4" s="75" t="s">
        <v>6</v>
      </c>
      <c r="F4" s="75" t="str">
        <f>'Stavební rozpočet'!I4</f>
        <v> </v>
      </c>
      <c r="G4" s="70"/>
      <c r="H4" s="75" t="s">
        <v>3</v>
      </c>
      <c r="I4" s="80" t="s">
        <v>4</v>
      </c>
    </row>
    <row r="5" spans="1:9" ht="15" customHeight="1">
      <c r="A5" s="69"/>
      <c r="B5" s="70"/>
      <c r="C5" s="70"/>
      <c r="D5" s="70"/>
      <c r="E5" s="70"/>
      <c r="F5" s="70"/>
      <c r="G5" s="70"/>
      <c r="H5" s="70"/>
      <c r="I5" s="80"/>
    </row>
    <row r="6" spans="1:9">
      <c r="A6" s="71" t="s">
        <v>7</v>
      </c>
      <c r="B6" s="70"/>
      <c r="C6" s="75" t="str">
        <f>'Stavební rozpočet'!C6</f>
        <v xml:space="preserve"> </v>
      </c>
      <c r="D6" s="70"/>
      <c r="E6" s="75" t="s">
        <v>8</v>
      </c>
      <c r="F6" s="75" t="str">
        <f>'Stavební rozpočet'!I6</f>
        <v> </v>
      </c>
      <c r="G6" s="70"/>
      <c r="H6" s="75" t="s">
        <v>3</v>
      </c>
      <c r="I6" s="80" t="s">
        <v>4</v>
      </c>
    </row>
    <row r="7" spans="1:9" ht="15" customHeight="1">
      <c r="A7" s="69"/>
      <c r="B7" s="70"/>
      <c r="C7" s="70"/>
      <c r="D7" s="70"/>
      <c r="E7" s="70"/>
      <c r="F7" s="70"/>
      <c r="G7" s="70"/>
      <c r="H7" s="70"/>
      <c r="I7" s="80"/>
    </row>
    <row r="8" spans="1:9">
      <c r="A8" s="71" t="s">
        <v>9</v>
      </c>
      <c r="B8" s="70"/>
      <c r="C8" s="75" t="str">
        <f>'Stavební rozpočet'!G4</f>
        <v xml:space="preserve"> </v>
      </c>
      <c r="D8" s="70"/>
      <c r="E8" s="75" t="s">
        <v>10</v>
      </c>
      <c r="F8" s="75" t="str">
        <f>'Stavební rozpočet'!G6</f>
        <v xml:space="preserve"> </v>
      </c>
      <c r="G8" s="70"/>
      <c r="H8" s="70" t="s">
        <v>11</v>
      </c>
      <c r="I8" s="81">
        <v>141</v>
      </c>
    </row>
    <row r="9" spans="1:9">
      <c r="A9" s="69"/>
      <c r="B9" s="70"/>
      <c r="C9" s="70"/>
      <c r="D9" s="70"/>
      <c r="E9" s="70"/>
      <c r="F9" s="70"/>
      <c r="G9" s="70"/>
      <c r="H9" s="70"/>
      <c r="I9" s="80"/>
    </row>
    <row r="10" spans="1:9">
      <c r="A10" s="71" t="s">
        <v>12</v>
      </c>
      <c r="B10" s="70"/>
      <c r="C10" s="75" t="str">
        <f>'Stavební rozpočet'!C8</f>
        <v xml:space="preserve"> </v>
      </c>
      <c r="D10" s="70"/>
      <c r="E10" s="75" t="s">
        <v>13</v>
      </c>
      <c r="F10" s="75" t="str">
        <f>'Stavební rozpočet'!I8</f>
        <v> </v>
      </c>
      <c r="G10" s="70"/>
      <c r="H10" s="70" t="s">
        <v>14</v>
      </c>
      <c r="I10" s="82">
        <f>'Stavební rozpočet'!G8</f>
        <v>0</v>
      </c>
    </row>
    <row r="11" spans="1:9">
      <c r="A11" s="72"/>
      <c r="B11" s="73"/>
      <c r="C11" s="73"/>
      <c r="D11" s="73"/>
      <c r="E11" s="73"/>
      <c r="F11" s="73"/>
      <c r="G11" s="73"/>
      <c r="H11" s="73"/>
      <c r="I11" s="83"/>
    </row>
    <row r="12" spans="1:9" ht="23.25">
      <c r="A12" s="84" t="s">
        <v>15</v>
      </c>
      <c r="B12" s="84"/>
      <c r="C12" s="84"/>
      <c r="D12" s="84"/>
      <c r="E12" s="84"/>
      <c r="F12" s="84"/>
      <c r="G12" s="84"/>
      <c r="H12" s="84"/>
      <c r="I12" s="84"/>
    </row>
    <row r="13" spans="1:9" ht="26.25" customHeight="1">
      <c r="A13" s="6" t="s">
        <v>16</v>
      </c>
      <c r="B13" s="85" t="s">
        <v>17</v>
      </c>
      <c r="C13" s="86"/>
      <c r="D13" s="7" t="s">
        <v>18</v>
      </c>
      <c r="E13" s="85" t="s">
        <v>19</v>
      </c>
      <c r="F13" s="86"/>
      <c r="G13" s="7" t="s">
        <v>20</v>
      </c>
      <c r="H13" s="85" t="s">
        <v>21</v>
      </c>
      <c r="I13" s="86"/>
    </row>
    <row r="14" spans="1:9" ht="15.75">
      <c r="A14" s="8" t="s">
        <v>22</v>
      </c>
      <c r="B14" s="9" t="s">
        <v>23</v>
      </c>
      <c r="C14" s="10">
        <f>SUM('Stavební rozpočet'!AB12:AB542)</f>
        <v>0</v>
      </c>
      <c r="D14" s="93" t="s">
        <v>24</v>
      </c>
      <c r="E14" s="94"/>
      <c r="F14" s="10">
        <f>VORN!I15</f>
        <v>0</v>
      </c>
      <c r="G14" s="93" t="s">
        <v>25</v>
      </c>
      <c r="H14" s="94"/>
      <c r="I14" s="11">
        <f>VORN!I21</f>
        <v>0</v>
      </c>
    </row>
    <row r="15" spans="1:9" ht="15.75">
      <c r="A15" s="12" t="s">
        <v>4</v>
      </c>
      <c r="B15" s="9" t="s">
        <v>26</v>
      </c>
      <c r="C15" s="10">
        <f>SUM('Stavební rozpočet'!AC12:AC542)</f>
        <v>0</v>
      </c>
      <c r="D15" s="93" t="s">
        <v>27</v>
      </c>
      <c r="E15" s="94"/>
      <c r="F15" s="10">
        <f>VORN!I16</f>
        <v>0</v>
      </c>
      <c r="G15" s="93" t="s">
        <v>28</v>
      </c>
      <c r="H15" s="94"/>
      <c r="I15" s="11">
        <f>VORN!I22</f>
        <v>0</v>
      </c>
    </row>
    <row r="16" spans="1:9" ht="15.75">
      <c r="A16" s="8" t="s">
        <v>29</v>
      </c>
      <c r="B16" s="9" t="s">
        <v>23</v>
      </c>
      <c r="C16" s="10">
        <f>SUM('Stavební rozpočet'!AD12:AD542)</f>
        <v>0</v>
      </c>
      <c r="D16" s="93" t="s">
        <v>30</v>
      </c>
      <c r="E16" s="94"/>
      <c r="F16" s="10">
        <f>VORN!I17</f>
        <v>0</v>
      </c>
      <c r="G16" s="93" t="s">
        <v>31</v>
      </c>
      <c r="H16" s="94"/>
      <c r="I16" s="11">
        <f>VORN!I23</f>
        <v>0</v>
      </c>
    </row>
    <row r="17" spans="1:9" ht="15.75">
      <c r="A17" s="12" t="s">
        <v>4</v>
      </c>
      <c r="B17" s="9" t="s">
        <v>26</v>
      </c>
      <c r="C17" s="10">
        <f>SUM('Stavební rozpočet'!AE12:AE542)</f>
        <v>0</v>
      </c>
      <c r="D17" s="93" t="s">
        <v>4</v>
      </c>
      <c r="E17" s="94"/>
      <c r="F17" s="11" t="s">
        <v>4</v>
      </c>
      <c r="G17" s="93" t="s">
        <v>32</v>
      </c>
      <c r="H17" s="94"/>
      <c r="I17" s="11">
        <f>VORN!I24</f>
        <v>0</v>
      </c>
    </row>
    <row r="18" spans="1:9" ht="15.75">
      <c r="A18" s="8" t="s">
        <v>33</v>
      </c>
      <c r="B18" s="9" t="s">
        <v>23</v>
      </c>
      <c r="C18" s="10">
        <f>SUM('Stavební rozpočet'!AF12:AF542)</f>
        <v>0</v>
      </c>
      <c r="D18" s="93" t="s">
        <v>4</v>
      </c>
      <c r="E18" s="94"/>
      <c r="F18" s="11" t="s">
        <v>4</v>
      </c>
      <c r="G18" s="93" t="s">
        <v>34</v>
      </c>
      <c r="H18" s="94"/>
      <c r="I18" s="11">
        <f>VORN!I25</f>
        <v>0</v>
      </c>
    </row>
    <row r="19" spans="1:9" ht="15.75">
      <c r="A19" s="12" t="s">
        <v>4</v>
      </c>
      <c r="B19" s="9" t="s">
        <v>26</v>
      </c>
      <c r="C19" s="10">
        <f>SUM('Stavební rozpočet'!AG12:AG542)</f>
        <v>0</v>
      </c>
      <c r="D19" s="93" t="s">
        <v>4</v>
      </c>
      <c r="E19" s="94"/>
      <c r="F19" s="11" t="s">
        <v>4</v>
      </c>
      <c r="G19" s="93" t="s">
        <v>35</v>
      </c>
      <c r="H19" s="94"/>
      <c r="I19" s="11">
        <f>VORN!I26</f>
        <v>0</v>
      </c>
    </row>
    <row r="20" spans="1:9" ht="15.75">
      <c r="A20" s="87" t="s">
        <v>36</v>
      </c>
      <c r="B20" s="88"/>
      <c r="C20" s="10">
        <f>SUM('Stavební rozpočet'!AH12:AH542)</f>
        <v>0</v>
      </c>
      <c r="D20" s="93" t="s">
        <v>4</v>
      </c>
      <c r="E20" s="94"/>
      <c r="F20" s="11" t="s">
        <v>4</v>
      </c>
      <c r="G20" s="93" t="s">
        <v>4</v>
      </c>
      <c r="H20" s="94"/>
      <c r="I20" s="11" t="s">
        <v>4</v>
      </c>
    </row>
    <row r="21" spans="1:9" ht="15.75">
      <c r="A21" s="89" t="s">
        <v>37</v>
      </c>
      <c r="B21" s="90"/>
      <c r="C21" s="13">
        <f>SUM('Stavební rozpočet'!Z12:Z542)</f>
        <v>0</v>
      </c>
      <c r="D21" s="95" t="s">
        <v>4</v>
      </c>
      <c r="E21" s="96"/>
      <c r="F21" s="14" t="s">
        <v>4</v>
      </c>
      <c r="G21" s="95" t="s">
        <v>4</v>
      </c>
      <c r="H21" s="96"/>
      <c r="I21" s="14" t="s">
        <v>4</v>
      </c>
    </row>
    <row r="22" spans="1:9" ht="16.5" customHeight="1">
      <c r="A22" s="91" t="s">
        <v>38</v>
      </c>
      <c r="B22" s="92"/>
      <c r="C22" s="15">
        <f>ROUND(SUM(C14:C21),2)</f>
        <v>0</v>
      </c>
      <c r="D22" s="97" t="s">
        <v>39</v>
      </c>
      <c r="E22" s="92"/>
      <c r="F22" s="15">
        <f>SUM(F14:F21)</f>
        <v>0</v>
      </c>
      <c r="G22" s="97" t="s">
        <v>40</v>
      </c>
      <c r="H22" s="92"/>
      <c r="I22" s="15">
        <f>SUM(I14:I21)</f>
        <v>0</v>
      </c>
    </row>
    <row r="23" spans="1:9" ht="15.75">
      <c r="D23" s="87" t="s">
        <v>41</v>
      </c>
      <c r="E23" s="88"/>
      <c r="F23" s="16">
        <v>0</v>
      </c>
      <c r="G23" s="98" t="s">
        <v>42</v>
      </c>
      <c r="H23" s="88"/>
      <c r="I23" s="10">
        <v>0</v>
      </c>
    </row>
    <row r="24" spans="1:9" ht="15.75">
      <c r="G24" s="87" t="s">
        <v>43</v>
      </c>
      <c r="H24" s="88"/>
      <c r="I24" s="13">
        <f>vorn_sum</f>
        <v>0</v>
      </c>
    </row>
    <row r="25" spans="1:9" ht="15.75">
      <c r="G25" s="87" t="s">
        <v>44</v>
      </c>
      <c r="H25" s="88"/>
      <c r="I25" s="15">
        <v>0</v>
      </c>
    </row>
    <row r="27" spans="1:9" ht="15.75">
      <c r="A27" s="99" t="s">
        <v>45</v>
      </c>
      <c r="B27" s="100"/>
      <c r="C27" s="17">
        <f>ROUND(SUM('Stavební rozpočet'!AJ12:AJ542),2)</f>
        <v>0</v>
      </c>
    </row>
    <row r="28" spans="1:9" ht="15.75">
      <c r="A28" s="101" t="s">
        <v>46</v>
      </c>
      <c r="B28" s="102"/>
      <c r="C28" s="18">
        <f>ROUND(SUM('Stavební rozpočet'!AK12:AK542),2)</f>
        <v>0</v>
      </c>
      <c r="D28" s="103" t="s">
        <v>47</v>
      </c>
      <c r="E28" s="100"/>
      <c r="F28" s="17">
        <f>ROUND(C28*(12/100),2)</f>
        <v>0</v>
      </c>
      <c r="G28" s="103" t="s">
        <v>48</v>
      </c>
      <c r="H28" s="100"/>
      <c r="I28" s="17">
        <f>ROUND(SUM(C27:C29),2)</f>
        <v>0</v>
      </c>
    </row>
    <row r="29" spans="1:9" ht="15.75">
      <c r="A29" s="101" t="s">
        <v>49</v>
      </c>
      <c r="B29" s="102"/>
      <c r="C29" s="18">
        <f>ROUND(SUM('Stavební rozpočet'!AL12:AL542),2)</f>
        <v>0</v>
      </c>
      <c r="D29" s="104" t="s">
        <v>50</v>
      </c>
      <c r="E29" s="102"/>
      <c r="F29" s="18">
        <f>ROUND(C29*(21/100),2)</f>
        <v>0</v>
      </c>
      <c r="G29" s="104" t="s">
        <v>51</v>
      </c>
      <c r="H29" s="102"/>
      <c r="I29" s="18">
        <f>ROUND(SUM(F28:F29)+I28,0)</f>
        <v>0</v>
      </c>
    </row>
    <row r="31" spans="1:9">
      <c r="A31" s="105" t="s">
        <v>52</v>
      </c>
      <c r="B31" s="106"/>
      <c r="C31" s="107"/>
      <c r="D31" s="114" t="s">
        <v>53</v>
      </c>
      <c r="E31" s="106"/>
      <c r="F31" s="107"/>
      <c r="G31" s="114" t="s">
        <v>54</v>
      </c>
      <c r="H31" s="106"/>
      <c r="I31" s="107"/>
    </row>
    <row r="32" spans="1:9">
      <c r="A32" s="108" t="s">
        <v>4</v>
      </c>
      <c r="B32" s="109"/>
      <c r="C32" s="110"/>
      <c r="D32" s="115" t="s">
        <v>4</v>
      </c>
      <c r="E32" s="109"/>
      <c r="F32" s="110"/>
      <c r="G32" s="115" t="s">
        <v>4</v>
      </c>
      <c r="H32" s="109"/>
      <c r="I32" s="110"/>
    </row>
    <row r="33" spans="1:9">
      <c r="A33" s="108" t="s">
        <v>4</v>
      </c>
      <c r="B33" s="109"/>
      <c r="C33" s="110"/>
      <c r="D33" s="115" t="s">
        <v>4</v>
      </c>
      <c r="E33" s="109"/>
      <c r="F33" s="110"/>
      <c r="G33" s="115" t="s">
        <v>4</v>
      </c>
      <c r="H33" s="109"/>
      <c r="I33" s="110"/>
    </row>
    <row r="34" spans="1:9">
      <c r="A34" s="108" t="s">
        <v>4</v>
      </c>
      <c r="B34" s="109"/>
      <c r="C34" s="110"/>
      <c r="D34" s="115" t="s">
        <v>4</v>
      </c>
      <c r="E34" s="109"/>
      <c r="F34" s="110"/>
      <c r="G34" s="115" t="s">
        <v>4</v>
      </c>
      <c r="H34" s="109"/>
      <c r="I34" s="110"/>
    </row>
    <row r="35" spans="1:9">
      <c r="A35" s="111" t="s">
        <v>55</v>
      </c>
      <c r="B35" s="112"/>
      <c r="C35" s="113"/>
      <c r="D35" s="116" t="s">
        <v>55</v>
      </c>
      <c r="E35" s="112"/>
      <c r="F35" s="113"/>
      <c r="G35" s="116" t="s">
        <v>55</v>
      </c>
      <c r="H35" s="112"/>
      <c r="I35" s="113"/>
    </row>
    <row r="36" spans="1:9">
      <c r="A36" s="19" t="s">
        <v>56</v>
      </c>
    </row>
    <row r="37" spans="1:9" ht="12.75" customHeight="1">
      <c r="A37" s="75" t="s">
        <v>4</v>
      </c>
      <c r="B37" s="70"/>
      <c r="C37" s="70"/>
      <c r="D37" s="70"/>
      <c r="E37" s="70"/>
      <c r="F37" s="70"/>
      <c r="G37" s="70"/>
      <c r="H37" s="70"/>
      <c r="I37" s="70"/>
    </row>
  </sheetData>
  <sheetProtection password="CF7A" sheet="1"/>
  <mergeCells count="83">
    <mergeCell ref="A37:I37"/>
    <mergeCell ref="G31:I31"/>
    <mergeCell ref="G32:I32"/>
    <mergeCell ref="G33:I33"/>
    <mergeCell ref="G34:I34"/>
    <mergeCell ref="G35:I35"/>
    <mergeCell ref="D31:F31"/>
    <mergeCell ref="D32:F32"/>
    <mergeCell ref="D33:F33"/>
    <mergeCell ref="D34:F34"/>
    <mergeCell ref="D35:F35"/>
    <mergeCell ref="A31:C31"/>
    <mergeCell ref="A32:C32"/>
    <mergeCell ref="A33:C33"/>
    <mergeCell ref="A34:C34"/>
    <mergeCell ref="A35:C35"/>
    <mergeCell ref="G24:H24"/>
    <mergeCell ref="G25:H25"/>
    <mergeCell ref="A27:B27"/>
    <mergeCell ref="A28:B28"/>
    <mergeCell ref="A29:B29"/>
    <mergeCell ref="D28:E28"/>
    <mergeCell ref="D29:E29"/>
    <mergeCell ref="G28:H28"/>
    <mergeCell ref="G29:H29"/>
    <mergeCell ref="D23:E2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A20:B20"/>
    <mergeCell ref="A21:B21"/>
    <mergeCell ref="A22:B22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I10:I11"/>
    <mergeCell ref="A12:I12"/>
    <mergeCell ref="B13:C13"/>
    <mergeCell ref="E13:F13"/>
    <mergeCell ref="H13:I13"/>
    <mergeCell ref="F10:G11"/>
    <mergeCell ref="H2:H3"/>
    <mergeCell ref="H4:H5"/>
    <mergeCell ref="H6:H7"/>
    <mergeCell ref="H8:H9"/>
    <mergeCell ref="H10:H11"/>
    <mergeCell ref="A10:B11"/>
    <mergeCell ref="E2:E3"/>
    <mergeCell ref="E4:E5"/>
    <mergeCell ref="E6:E7"/>
    <mergeCell ref="E8:E9"/>
    <mergeCell ref="E10:E11"/>
    <mergeCell ref="C2:D3"/>
    <mergeCell ref="C4:D5"/>
    <mergeCell ref="C6:D7"/>
    <mergeCell ref="C8:D9"/>
    <mergeCell ref="C10:D11"/>
    <mergeCell ref="A1:I1"/>
    <mergeCell ref="A2:B3"/>
    <mergeCell ref="A4:B5"/>
    <mergeCell ref="A6:B7"/>
    <mergeCell ref="A8:B9"/>
    <mergeCell ref="F2:G3"/>
    <mergeCell ref="F4:G5"/>
    <mergeCell ref="F6:G7"/>
    <mergeCell ref="F8:G9"/>
    <mergeCell ref="I2:I3"/>
    <mergeCell ref="I4:I5"/>
    <mergeCell ref="I6:I7"/>
    <mergeCell ref="I8:I9"/>
  </mergeCells>
  <pageMargins left="0.393999993801117" right="0.393999993801117" top="0.59100002050399802" bottom="0.59100002050399802" header="0" footer="0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5"/>
  <sheetViews>
    <sheetView workbookViewId="0">
      <selection activeCell="A45" sqref="A45:E45"/>
    </sheetView>
  </sheetViews>
  <sheetFormatPr defaultColWidth="12.140625" defaultRowHeight="15" customHeight="1"/>
  <cols>
    <col min="1" max="1" width="9.140625" customWidth="1"/>
    <col min="2" max="2" width="12.85546875" customWidth="1"/>
    <col min="3" max="3" width="22.85546875" customWidth="1"/>
    <col min="4" max="4" width="10" customWidth="1"/>
    <col min="5" max="5" width="14" customWidth="1"/>
    <col min="6" max="6" width="22.85546875" customWidth="1"/>
    <col min="7" max="7" width="9.140625" customWidth="1"/>
    <col min="8" max="8" width="17.140625" customWidth="1"/>
    <col min="9" max="9" width="22.85546875" customWidth="1"/>
  </cols>
  <sheetData>
    <row r="1" spans="1:9" ht="54.75" customHeight="1">
      <c r="A1" s="65" t="s">
        <v>57</v>
      </c>
      <c r="B1" s="66"/>
      <c r="C1" s="66"/>
      <c r="D1" s="66"/>
      <c r="E1" s="66"/>
      <c r="F1" s="66"/>
      <c r="G1" s="66"/>
      <c r="H1" s="66"/>
      <c r="I1" s="66"/>
    </row>
    <row r="2" spans="1:9">
      <c r="A2" s="67" t="s">
        <v>1</v>
      </c>
      <c r="B2" s="68"/>
      <c r="C2" s="76" t="str">
        <f>'Stavební rozpočet'!C2</f>
        <v>101-2025 Libušínská 203/11, byt č. 1 Žďár nad Sázavou</v>
      </c>
      <c r="D2" s="77"/>
      <c r="E2" s="74" t="s">
        <v>2</v>
      </c>
      <c r="F2" s="74" t="str">
        <f>'Stavební rozpočet'!I2</f>
        <v> </v>
      </c>
      <c r="G2" s="68"/>
      <c r="H2" s="74" t="s">
        <v>3</v>
      </c>
      <c r="I2" s="79" t="s">
        <v>4</v>
      </c>
    </row>
    <row r="3" spans="1:9" ht="15" customHeight="1">
      <c r="A3" s="69"/>
      <c r="B3" s="70"/>
      <c r="C3" s="78"/>
      <c r="D3" s="78"/>
      <c r="E3" s="70"/>
      <c r="F3" s="70"/>
      <c r="G3" s="70"/>
      <c r="H3" s="70"/>
      <c r="I3" s="80"/>
    </row>
    <row r="4" spans="1:9">
      <c r="A4" s="71" t="s">
        <v>5</v>
      </c>
      <c r="B4" s="70"/>
      <c r="C4" s="75" t="str">
        <f>'Stavební rozpočet'!C4</f>
        <v>Oprava bytu 1+1  1.NP</v>
      </c>
      <c r="D4" s="70"/>
      <c r="E4" s="75" t="s">
        <v>6</v>
      </c>
      <c r="F4" s="75" t="str">
        <f>'Stavební rozpočet'!I4</f>
        <v> </v>
      </c>
      <c r="G4" s="70"/>
      <c r="H4" s="75" t="s">
        <v>3</v>
      </c>
      <c r="I4" s="80" t="s">
        <v>4</v>
      </c>
    </row>
    <row r="5" spans="1:9" ht="15" customHeight="1">
      <c r="A5" s="69"/>
      <c r="B5" s="70"/>
      <c r="C5" s="70"/>
      <c r="D5" s="70"/>
      <c r="E5" s="70"/>
      <c r="F5" s="70"/>
      <c r="G5" s="70"/>
      <c r="H5" s="70"/>
      <c r="I5" s="80"/>
    </row>
    <row r="6" spans="1:9">
      <c r="A6" s="71" t="s">
        <v>7</v>
      </c>
      <c r="B6" s="70"/>
      <c r="C6" s="75" t="str">
        <f>'Stavební rozpočet'!C6</f>
        <v xml:space="preserve"> </v>
      </c>
      <c r="D6" s="70"/>
      <c r="E6" s="75" t="s">
        <v>8</v>
      </c>
      <c r="F6" s="75" t="str">
        <f>'Stavební rozpočet'!I6</f>
        <v> </v>
      </c>
      <c r="G6" s="70"/>
      <c r="H6" s="75" t="s">
        <v>3</v>
      </c>
      <c r="I6" s="80" t="s">
        <v>4</v>
      </c>
    </row>
    <row r="7" spans="1:9" ht="15" customHeight="1">
      <c r="A7" s="69"/>
      <c r="B7" s="70"/>
      <c r="C7" s="70"/>
      <c r="D7" s="70"/>
      <c r="E7" s="70"/>
      <c r="F7" s="70"/>
      <c r="G7" s="70"/>
      <c r="H7" s="70"/>
      <c r="I7" s="80"/>
    </row>
    <row r="8" spans="1:9">
      <c r="A8" s="71" t="s">
        <v>9</v>
      </c>
      <c r="B8" s="70"/>
      <c r="C8" s="75" t="str">
        <f>'Stavební rozpočet'!G4</f>
        <v xml:space="preserve"> </v>
      </c>
      <c r="D8" s="70"/>
      <c r="E8" s="75" t="s">
        <v>10</v>
      </c>
      <c r="F8" s="75" t="str">
        <f>'Stavební rozpočet'!G6</f>
        <v xml:space="preserve"> </v>
      </c>
      <c r="G8" s="70"/>
      <c r="H8" s="70" t="s">
        <v>11</v>
      </c>
      <c r="I8" s="81">
        <v>141</v>
      </c>
    </row>
    <row r="9" spans="1:9">
      <c r="A9" s="69"/>
      <c r="B9" s="70"/>
      <c r="C9" s="70"/>
      <c r="D9" s="70"/>
      <c r="E9" s="70"/>
      <c r="F9" s="70"/>
      <c r="G9" s="70"/>
      <c r="H9" s="70"/>
      <c r="I9" s="80"/>
    </row>
    <row r="10" spans="1:9">
      <c r="A10" s="71" t="s">
        <v>12</v>
      </c>
      <c r="B10" s="70"/>
      <c r="C10" s="75" t="str">
        <f>'Stavební rozpočet'!C8</f>
        <v xml:space="preserve"> </v>
      </c>
      <c r="D10" s="70"/>
      <c r="E10" s="75" t="s">
        <v>13</v>
      </c>
      <c r="F10" s="75" t="str">
        <f>'Stavební rozpočet'!I8</f>
        <v> </v>
      </c>
      <c r="G10" s="70"/>
      <c r="H10" s="70" t="s">
        <v>14</v>
      </c>
      <c r="I10" s="82">
        <f>'Stavební rozpočet'!G8</f>
        <v>0</v>
      </c>
    </row>
    <row r="11" spans="1:9">
      <c r="A11" s="72"/>
      <c r="B11" s="73"/>
      <c r="C11" s="73"/>
      <c r="D11" s="73"/>
      <c r="E11" s="73"/>
      <c r="F11" s="73"/>
      <c r="G11" s="73"/>
      <c r="H11" s="73"/>
      <c r="I11" s="83"/>
    </row>
    <row r="13" spans="1:9" ht="15.75">
      <c r="A13" s="117" t="s">
        <v>58</v>
      </c>
      <c r="B13" s="117"/>
      <c r="C13" s="117"/>
      <c r="D13" s="117"/>
      <c r="E13" s="117"/>
    </row>
    <row r="14" spans="1:9">
      <c r="A14" s="118" t="s">
        <v>59</v>
      </c>
      <c r="B14" s="119"/>
      <c r="C14" s="119"/>
      <c r="D14" s="119"/>
      <c r="E14" s="120"/>
      <c r="F14" s="20" t="s">
        <v>60</v>
      </c>
      <c r="G14" s="20" t="s">
        <v>61</v>
      </c>
      <c r="H14" s="20" t="s">
        <v>62</v>
      </c>
      <c r="I14" s="20" t="s">
        <v>60</v>
      </c>
    </row>
    <row r="15" spans="1:9">
      <c r="A15" s="121" t="s">
        <v>24</v>
      </c>
      <c r="B15" s="122"/>
      <c r="C15" s="122"/>
      <c r="D15" s="122"/>
      <c r="E15" s="123"/>
      <c r="F15" s="21">
        <v>0</v>
      </c>
      <c r="G15" s="22" t="s">
        <v>4</v>
      </c>
      <c r="H15" s="22" t="s">
        <v>4</v>
      </c>
      <c r="I15" s="21">
        <f>F15</f>
        <v>0</v>
      </c>
    </row>
    <row r="16" spans="1:9">
      <c r="A16" s="121" t="s">
        <v>27</v>
      </c>
      <c r="B16" s="122"/>
      <c r="C16" s="122"/>
      <c r="D16" s="122"/>
      <c r="E16" s="123"/>
      <c r="F16" s="21">
        <v>0</v>
      </c>
      <c r="G16" s="22" t="s">
        <v>4</v>
      </c>
      <c r="H16" s="22" t="s">
        <v>4</v>
      </c>
      <c r="I16" s="21">
        <f>F16</f>
        <v>0</v>
      </c>
    </row>
    <row r="17" spans="1:9">
      <c r="A17" s="124" t="s">
        <v>30</v>
      </c>
      <c r="B17" s="125"/>
      <c r="C17" s="125"/>
      <c r="D17" s="125"/>
      <c r="E17" s="126"/>
      <c r="F17" s="23">
        <v>0</v>
      </c>
      <c r="G17" s="24" t="s">
        <v>4</v>
      </c>
      <c r="H17" s="24" t="s">
        <v>4</v>
      </c>
      <c r="I17" s="23">
        <f>F17</f>
        <v>0</v>
      </c>
    </row>
    <row r="18" spans="1:9">
      <c r="A18" s="127" t="s">
        <v>63</v>
      </c>
      <c r="B18" s="128"/>
      <c r="C18" s="128"/>
      <c r="D18" s="128"/>
      <c r="E18" s="129"/>
      <c r="F18" s="25" t="s">
        <v>4</v>
      </c>
      <c r="G18" s="26" t="s">
        <v>4</v>
      </c>
      <c r="H18" s="26" t="s">
        <v>4</v>
      </c>
      <c r="I18" s="27">
        <f>SUM(I15:I17)</f>
        <v>0</v>
      </c>
    </row>
    <row r="20" spans="1:9">
      <c r="A20" s="118" t="s">
        <v>21</v>
      </c>
      <c r="B20" s="119"/>
      <c r="C20" s="119"/>
      <c r="D20" s="119"/>
      <c r="E20" s="120"/>
      <c r="F20" s="20" t="s">
        <v>60</v>
      </c>
      <c r="G20" s="20" t="s">
        <v>61</v>
      </c>
      <c r="H20" s="20" t="s">
        <v>62</v>
      </c>
      <c r="I20" s="20" t="s">
        <v>60</v>
      </c>
    </row>
    <row r="21" spans="1:9">
      <c r="A21" s="121" t="s">
        <v>25</v>
      </c>
      <c r="B21" s="122"/>
      <c r="C21" s="122"/>
      <c r="D21" s="122"/>
      <c r="E21" s="123"/>
      <c r="F21" s="21">
        <v>0</v>
      </c>
      <c r="G21" s="22" t="s">
        <v>4</v>
      </c>
      <c r="H21" s="22" t="s">
        <v>4</v>
      </c>
      <c r="I21" s="21">
        <f t="shared" ref="I21:I26" si="0">F21</f>
        <v>0</v>
      </c>
    </row>
    <row r="22" spans="1:9">
      <c r="A22" s="121" t="s">
        <v>28</v>
      </c>
      <c r="B22" s="122"/>
      <c r="C22" s="122"/>
      <c r="D22" s="122"/>
      <c r="E22" s="123"/>
      <c r="F22" s="21">
        <v>0</v>
      </c>
      <c r="G22" s="22" t="s">
        <v>4</v>
      </c>
      <c r="H22" s="22" t="s">
        <v>4</v>
      </c>
      <c r="I22" s="21">
        <f t="shared" si="0"/>
        <v>0</v>
      </c>
    </row>
    <row r="23" spans="1:9">
      <c r="A23" s="121" t="s">
        <v>31</v>
      </c>
      <c r="B23" s="122"/>
      <c r="C23" s="122"/>
      <c r="D23" s="122"/>
      <c r="E23" s="123"/>
      <c r="F23" s="21">
        <v>0</v>
      </c>
      <c r="G23" s="22" t="s">
        <v>4</v>
      </c>
      <c r="H23" s="22" t="s">
        <v>4</v>
      </c>
      <c r="I23" s="21">
        <f t="shared" si="0"/>
        <v>0</v>
      </c>
    </row>
    <row r="24" spans="1:9">
      <c r="A24" s="121" t="s">
        <v>32</v>
      </c>
      <c r="B24" s="122"/>
      <c r="C24" s="122"/>
      <c r="D24" s="122"/>
      <c r="E24" s="123"/>
      <c r="F24" s="21">
        <v>0</v>
      </c>
      <c r="G24" s="22" t="s">
        <v>4</v>
      </c>
      <c r="H24" s="22" t="s">
        <v>4</v>
      </c>
      <c r="I24" s="21">
        <f t="shared" si="0"/>
        <v>0</v>
      </c>
    </row>
    <row r="25" spans="1:9">
      <c r="A25" s="121" t="s">
        <v>34</v>
      </c>
      <c r="B25" s="122"/>
      <c r="C25" s="122"/>
      <c r="D25" s="122"/>
      <c r="E25" s="123"/>
      <c r="F25" s="21">
        <v>0</v>
      </c>
      <c r="G25" s="22" t="s">
        <v>4</v>
      </c>
      <c r="H25" s="22" t="s">
        <v>4</v>
      </c>
      <c r="I25" s="21">
        <f t="shared" si="0"/>
        <v>0</v>
      </c>
    </row>
    <row r="26" spans="1:9">
      <c r="A26" s="124" t="s">
        <v>35</v>
      </c>
      <c r="B26" s="125"/>
      <c r="C26" s="125"/>
      <c r="D26" s="125"/>
      <c r="E26" s="126"/>
      <c r="F26" s="23">
        <v>0</v>
      </c>
      <c r="G26" s="24" t="s">
        <v>4</v>
      </c>
      <c r="H26" s="24" t="s">
        <v>4</v>
      </c>
      <c r="I26" s="23">
        <f t="shared" si="0"/>
        <v>0</v>
      </c>
    </row>
    <row r="27" spans="1:9">
      <c r="A27" s="127" t="s">
        <v>64</v>
      </c>
      <c r="B27" s="128"/>
      <c r="C27" s="128"/>
      <c r="D27" s="128"/>
      <c r="E27" s="129"/>
      <c r="F27" s="25" t="s">
        <v>4</v>
      </c>
      <c r="G27" s="26" t="s">
        <v>4</v>
      </c>
      <c r="H27" s="26" t="s">
        <v>4</v>
      </c>
      <c r="I27" s="27">
        <f>SUM(I21:I26)</f>
        <v>0</v>
      </c>
    </row>
    <row r="29" spans="1:9" ht="15.75">
      <c r="A29" s="130" t="s">
        <v>65</v>
      </c>
      <c r="B29" s="131"/>
      <c r="C29" s="131"/>
      <c r="D29" s="131"/>
      <c r="E29" s="132"/>
      <c r="F29" s="133">
        <f>I18+I27</f>
        <v>0</v>
      </c>
      <c r="G29" s="134"/>
      <c r="H29" s="134"/>
      <c r="I29" s="135"/>
    </row>
    <row r="33" spans="1:9" ht="15.75">
      <c r="A33" s="117" t="s">
        <v>66</v>
      </c>
      <c r="B33" s="117"/>
      <c r="C33" s="117"/>
      <c r="D33" s="117"/>
      <c r="E33" s="117"/>
    </row>
    <row r="34" spans="1:9">
      <c r="A34" s="118" t="s">
        <v>67</v>
      </c>
      <c r="B34" s="119"/>
      <c r="C34" s="119"/>
      <c r="D34" s="119"/>
      <c r="E34" s="120"/>
      <c r="F34" s="20" t="s">
        <v>60</v>
      </c>
      <c r="G34" s="20" t="s">
        <v>61</v>
      </c>
      <c r="H34" s="20" t="s">
        <v>62</v>
      </c>
      <c r="I34" s="20" t="s">
        <v>60</v>
      </c>
    </row>
    <row r="35" spans="1:9">
      <c r="A35" s="121" t="s">
        <v>68</v>
      </c>
      <c r="B35" s="122"/>
      <c r="C35" s="122"/>
      <c r="D35" s="122"/>
      <c r="E35" s="123"/>
      <c r="F35" s="21">
        <f>SUM('Stavební rozpočet'!BM12:BM542)</f>
        <v>0</v>
      </c>
      <c r="G35" s="22" t="s">
        <v>4</v>
      </c>
      <c r="H35" s="22" t="s">
        <v>4</v>
      </c>
      <c r="I35" s="21">
        <f t="shared" ref="I35:I44" si="1">F35</f>
        <v>0</v>
      </c>
    </row>
    <row r="36" spans="1:9">
      <c r="A36" s="121" t="s">
        <v>69</v>
      </c>
      <c r="B36" s="122"/>
      <c r="C36" s="122"/>
      <c r="D36" s="122"/>
      <c r="E36" s="123"/>
      <c r="F36" s="21">
        <f>SUM('Stavební rozpočet'!BN12:BN542)</f>
        <v>0</v>
      </c>
      <c r="G36" s="22" t="s">
        <v>4</v>
      </c>
      <c r="H36" s="22" t="s">
        <v>4</v>
      </c>
      <c r="I36" s="21">
        <f t="shared" si="1"/>
        <v>0</v>
      </c>
    </row>
    <row r="37" spans="1:9">
      <c r="A37" s="121" t="s">
        <v>25</v>
      </c>
      <c r="B37" s="122"/>
      <c r="C37" s="122"/>
      <c r="D37" s="122"/>
      <c r="E37" s="123"/>
      <c r="F37" s="21">
        <f>SUM('Stavební rozpočet'!BO12:BO542)</f>
        <v>0</v>
      </c>
      <c r="G37" s="22" t="s">
        <v>4</v>
      </c>
      <c r="H37" s="22" t="s">
        <v>4</v>
      </c>
      <c r="I37" s="21">
        <f t="shared" si="1"/>
        <v>0</v>
      </c>
    </row>
    <row r="38" spans="1:9">
      <c r="A38" s="121" t="s">
        <v>70</v>
      </c>
      <c r="B38" s="122"/>
      <c r="C38" s="122"/>
      <c r="D38" s="122"/>
      <c r="E38" s="123"/>
      <c r="F38" s="21">
        <f>SUM('Stavební rozpočet'!BP12:BP542)</f>
        <v>0</v>
      </c>
      <c r="G38" s="22" t="s">
        <v>4</v>
      </c>
      <c r="H38" s="22" t="s">
        <v>4</v>
      </c>
      <c r="I38" s="21">
        <f t="shared" si="1"/>
        <v>0</v>
      </c>
    </row>
    <row r="39" spans="1:9">
      <c r="A39" s="121" t="s">
        <v>71</v>
      </c>
      <c r="B39" s="122"/>
      <c r="C39" s="122"/>
      <c r="D39" s="122"/>
      <c r="E39" s="123"/>
      <c r="F39" s="21">
        <f>SUM('Stavební rozpočet'!BQ12:BQ542)</f>
        <v>0</v>
      </c>
      <c r="G39" s="22" t="s">
        <v>4</v>
      </c>
      <c r="H39" s="22" t="s">
        <v>4</v>
      </c>
      <c r="I39" s="21">
        <f t="shared" si="1"/>
        <v>0</v>
      </c>
    </row>
    <row r="40" spans="1:9">
      <c r="A40" s="121" t="s">
        <v>31</v>
      </c>
      <c r="B40" s="122"/>
      <c r="C40" s="122"/>
      <c r="D40" s="122"/>
      <c r="E40" s="123"/>
      <c r="F40" s="21">
        <f>SUM('Stavební rozpočet'!BR12:BR542)</f>
        <v>0</v>
      </c>
      <c r="G40" s="22" t="s">
        <v>4</v>
      </c>
      <c r="H40" s="22" t="s">
        <v>4</v>
      </c>
      <c r="I40" s="21">
        <f t="shared" si="1"/>
        <v>0</v>
      </c>
    </row>
    <row r="41" spans="1:9">
      <c r="A41" s="121" t="s">
        <v>32</v>
      </c>
      <c r="B41" s="122"/>
      <c r="C41" s="122"/>
      <c r="D41" s="122"/>
      <c r="E41" s="123"/>
      <c r="F41" s="21">
        <f>SUM('Stavební rozpočet'!BS12:BS542)</f>
        <v>0</v>
      </c>
      <c r="G41" s="22" t="s">
        <v>4</v>
      </c>
      <c r="H41" s="22" t="s">
        <v>4</v>
      </c>
      <c r="I41" s="21">
        <f t="shared" si="1"/>
        <v>0</v>
      </c>
    </row>
    <row r="42" spans="1:9">
      <c r="A42" s="121" t="s">
        <v>72</v>
      </c>
      <c r="B42" s="122"/>
      <c r="C42" s="122"/>
      <c r="D42" s="122"/>
      <c r="E42" s="123"/>
      <c r="F42" s="21">
        <f>SUM('Stavební rozpočet'!BT12:BT542)</f>
        <v>0</v>
      </c>
      <c r="G42" s="22" t="s">
        <v>4</v>
      </c>
      <c r="H42" s="22" t="s">
        <v>4</v>
      </c>
      <c r="I42" s="21">
        <f t="shared" si="1"/>
        <v>0</v>
      </c>
    </row>
    <row r="43" spans="1:9">
      <c r="A43" s="121" t="s">
        <v>73</v>
      </c>
      <c r="B43" s="122"/>
      <c r="C43" s="122"/>
      <c r="D43" s="122"/>
      <c r="E43" s="123"/>
      <c r="F43" s="21">
        <f>SUM('Stavební rozpočet'!BU12:BU542)</f>
        <v>0</v>
      </c>
      <c r="G43" s="22" t="s">
        <v>4</v>
      </c>
      <c r="H43" s="22" t="s">
        <v>4</v>
      </c>
      <c r="I43" s="21">
        <f t="shared" si="1"/>
        <v>0</v>
      </c>
    </row>
    <row r="44" spans="1:9">
      <c r="A44" s="124" t="s">
        <v>74</v>
      </c>
      <c r="B44" s="125"/>
      <c r="C44" s="125"/>
      <c r="D44" s="125"/>
      <c r="E44" s="126"/>
      <c r="F44" s="23">
        <f>SUM('Stavební rozpočet'!BV12:BV542)</f>
        <v>0</v>
      </c>
      <c r="G44" s="24" t="s">
        <v>4</v>
      </c>
      <c r="H44" s="24" t="s">
        <v>4</v>
      </c>
      <c r="I44" s="23">
        <f t="shared" si="1"/>
        <v>0</v>
      </c>
    </row>
    <row r="45" spans="1:9">
      <c r="A45" s="127" t="s">
        <v>75</v>
      </c>
      <c r="B45" s="128"/>
      <c r="C45" s="128"/>
      <c r="D45" s="128"/>
      <c r="E45" s="129"/>
      <c r="F45" s="25" t="s">
        <v>4</v>
      </c>
      <c r="G45" s="26" t="s">
        <v>4</v>
      </c>
      <c r="H45" s="26" t="s">
        <v>4</v>
      </c>
      <c r="I45" s="27">
        <f>SUM(I35:I44)</f>
        <v>0</v>
      </c>
    </row>
  </sheetData>
  <sheetProtection password="CF7A" sheet="1"/>
  <mergeCells count="60">
    <mergeCell ref="A41:E41"/>
    <mergeCell ref="A42:E42"/>
    <mergeCell ref="A43:E43"/>
    <mergeCell ref="A44:E44"/>
    <mergeCell ref="A45:E45"/>
    <mergeCell ref="A36:E36"/>
    <mergeCell ref="A37:E37"/>
    <mergeCell ref="A38:E38"/>
    <mergeCell ref="A39:E39"/>
    <mergeCell ref="A40:E40"/>
    <mergeCell ref="A29:E29"/>
    <mergeCell ref="F29:I29"/>
    <mergeCell ref="A33:E33"/>
    <mergeCell ref="A34:E34"/>
    <mergeCell ref="A35:E35"/>
    <mergeCell ref="A23:E23"/>
    <mergeCell ref="A24:E24"/>
    <mergeCell ref="A25:E25"/>
    <mergeCell ref="A26:E26"/>
    <mergeCell ref="A27:E27"/>
    <mergeCell ref="A17:E17"/>
    <mergeCell ref="A18:E18"/>
    <mergeCell ref="A20:E20"/>
    <mergeCell ref="A21:E21"/>
    <mergeCell ref="A22:E22"/>
    <mergeCell ref="I10:I11"/>
    <mergeCell ref="A13:E13"/>
    <mergeCell ref="A14:E14"/>
    <mergeCell ref="A15:E15"/>
    <mergeCell ref="A16:E16"/>
    <mergeCell ref="H10:H11"/>
    <mergeCell ref="C2:D3"/>
    <mergeCell ref="C4:D5"/>
    <mergeCell ref="C6:D7"/>
    <mergeCell ref="C8:D9"/>
    <mergeCell ref="C10:D11"/>
    <mergeCell ref="F2:G3"/>
    <mergeCell ref="F4:G5"/>
    <mergeCell ref="F6:G7"/>
    <mergeCell ref="F8:G9"/>
    <mergeCell ref="F10:G11"/>
    <mergeCell ref="A10:B11"/>
    <mergeCell ref="E2:E3"/>
    <mergeCell ref="E4:E5"/>
    <mergeCell ref="E6:E7"/>
    <mergeCell ref="E8:E9"/>
    <mergeCell ref="E10:E11"/>
    <mergeCell ref="A1:I1"/>
    <mergeCell ref="A2:B3"/>
    <mergeCell ref="A4:B5"/>
    <mergeCell ref="A6:B7"/>
    <mergeCell ref="A8:B9"/>
    <mergeCell ref="H2:H3"/>
    <mergeCell ref="H4:H5"/>
    <mergeCell ref="H6:H7"/>
    <mergeCell ref="H8:H9"/>
    <mergeCell ref="I2:I3"/>
    <mergeCell ref="I4:I5"/>
    <mergeCell ref="I6:I7"/>
    <mergeCell ref="I8:I9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Z274"/>
  <sheetViews>
    <sheetView workbookViewId="0">
      <pane ySplit="11" topLeftCell="A12" activePane="bottomLeft" state="frozen"/>
      <selection pane="bottomLeft" activeCell="G8" sqref="G8:G9"/>
    </sheetView>
  </sheetViews>
  <sheetFormatPr defaultColWidth="12.140625" defaultRowHeight="15" customHeight="1"/>
  <cols>
    <col min="1" max="1" width="3.140625" customWidth="1"/>
    <col min="2" max="2" width="17.85546875" customWidth="1"/>
    <col min="3" max="3" width="42.85546875" customWidth="1"/>
    <col min="4" max="4" width="35.7109375" customWidth="1"/>
    <col min="5" max="5" width="6.7109375" customWidth="1"/>
    <col min="6" max="6" width="12.85546875" customWidth="1"/>
    <col min="7" max="7" width="12" customWidth="1"/>
    <col min="8" max="8" width="15.7109375" customWidth="1"/>
    <col min="25" max="75" width="12.140625" hidden="1"/>
    <col min="76" max="76" width="78.5703125" hidden="1" customWidth="1"/>
    <col min="77" max="78" width="12.140625" hidden="1"/>
  </cols>
  <sheetData>
    <row r="1" spans="1:76" ht="54.75" customHeight="1">
      <c r="A1" s="66" t="s">
        <v>76</v>
      </c>
      <c r="B1" s="66"/>
      <c r="C1" s="66"/>
      <c r="D1" s="66"/>
      <c r="E1" s="66"/>
      <c r="F1" s="66"/>
      <c r="G1" s="66"/>
      <c r="H1" s="66"/>
      <c r="I1" s="66"/>
      <c r="J1" s="66"/>
      <c r="AS1" s="28">
        <f>SUM(AJ1:AJ2)</f>
        <v>0</v>
      </c>
      <c r="AT1" s="28">
        <f>SUM(AK1:AK2)</f>
        <v>0</v>
      </c>
      <c r="AU1" s="28">
        <f>SUM(AL1:AL2)</f>
        <v>0</v>
      </c>
    </row>
    <row r="2" spans="1:76">
      <c r="A2" s="67" t="s">
        <v>1</v>
      </c>
      <c r="B2" s="68"/>
      <c r="C2" s="76" t="s">
        <v>77</v>
      </c>
      <c r="D2" s="77"/>
      <c r="E2" s="68" t="s">
        <v>78</v>
      </c>
      <c r="F2" s="68"/>
      <c r="G2" s="138" t="s">
        <v>79</v>
      </c>
      <c r="H2" s="74" t="s">
        <v>2</v>
      </c>
      <c r="I2" s="68" t="s">
        <v>80</v>
      </c>
      <c r="J2" s="79"/>
    </row>
    <row r="3" spans="1:76">
      <c r="A3" s="69"/>
      <c r="B3" s="70"/>
      <c r="C3" s="78"/>
      <c r="D3" s="78"/>
      <c r="E3" s="70"/>
      <c r="F3" s="70"/>
      <c r="G3" s="139"/>
      <c r="H3" s="70"/>
      <c r="I3" s="70"/>
      <c r="J3" s="80"/>
    </row>
    <row r="4" spans="1:76">
      <c r="A4" s="71" t="s">
        <v>5</v>
      </c>
      <c r="B4" s="70"/>
      <c r="C4" s="75" t="s">
        <v>81</v>
      </c>
      <c r="D4" s="70"/>
      <c r="E4" s="70" t="s">
        <v>9</v>
      </c>
      <c r="F4" s="70"/>
      <c r="G4" s="139" t="s">
        <v>79</v>
      </c>
      <c r="H4" s="75" t="s">
        <v>6</v>
      </c>
      <c r="I4" s="70" t="s">
        <v>80</v>
      </c>
      <c r="J4" s="80"/>
    </row>
    <row r="5" spans="1:76">
      <c r="A5" s="69"/>
      <c r="B5" s="70"/>
      <c r="C5" s="70"/>
      <c r="D5" s="70"/>
      <c r="E5" s="70"/>
      <c r="F5" s="70"/>
      <c r="G5" s="139"/>
      <c r="H5" s="70"/>
      <c r="I5" s="70"/>
      <c r="J5" s="80"/>
    </row>
    <row r="6" spans="1:76">
      <c r="A6" s="71" t="s">
        <v>7</v>
      </c>
      <c r="B6" s="70"/>
      <c r="C6" s="75" t="s">
        <v>79</v>
      </c>
      <c r="D6" s="70"/>
      <c r="E6" s="70" t="s">
        <v>10</v>
      </c>
      <c r="F6" s="70"/>
      <c r="G6" s="139" t="s">
        <v>79</v>
      </c>
      <c r="H6" s="75" t="s">
        <v>8</v>
      </c>
      <c r="I6" s="139" t="s">
        <v>80</v>
      </c>
      <c r="J6" s="141"/>
    </row>
    <row r="7" spans="1:76">
      <c r="A7" s="69"/>
      <c r="B7" s="70"/>
      <c r="C7" s="70"/>
      <c r="D7" s="70"/>
      <c r="E7" s="70"/>
      <c r="F7" s="70"/>
      <c r="G7" s="139"/>
      <c r="H7" s="70"/>
      <c r="I7" s="139"/>
      <c r="J7" s="141"/>
    </row>
    <row r="8" spans="1:76">
      <c r="A8" s="71" t="s">
        <v>12</v>
      </c>
      <c r="B8" s="70"/>
      <c r="C8" s="75" t="s">
        <v>79</v>
      </c>
      <c r="D8" s="70"/>
      <c r="E8" s="70" t="s">
        <v>82</v>
      </c>
      <c r="F8" s="70"/>
      <c r="G8" s="139"/>
      <c r="H8" s="75" t="s">
        <v>13</v>
      </c>
      <c r="I8" s="139" t="s">
        <v>80</v>
      </c>
      <c r="J8" s="141"/>
    </row>
    <row r="9" spans="1:76">
      <c r="A9" s="136"/>
      <c r="B9" s="137"/>
      <c r="C9" s="137"/>
      <c r="D9" s="137"/>
      <c r="E9" s="137"/>
      <c r="F9" s="137"/>
      <c r="G9" s="140"/>
      <c r="H9" s="137"/>
      <c r="I9" s="142"/>
      <c r="J9" s="143"/>
    </row>
    <row r="10" spans="1:76">
      <c r="A10" s="29" t="s">
        <v>83</v>
      </c>
      <c r="B10" s="30" t="s">
        <v>84</v>
      </c>
      <c r="C10" s="144" t="s">
        <v>85</v>
      </c>
      <c r="D10" s="145"/>
      <c r="E10" s="30" t="s">
        <v>86</v>
      </c>
      <c r="F10" s="31" t="s">
        <v>87</v>
      </c>
      <c r="G10" s="32" t="s">
        <v>88</v>
      </c>
      <c r="H10" s="33" t="s">
        <v>89</v>
      </c>
      <c r="J10" s="34"/>
      <c r="BK10" s="35" t="s">
        <v>90</v>
      </c>
      <c r="BL10" s="36" t="s">
        <v>91</v>
      </c>
      <c r="BW10" s="36" t="s">
        <v>92</v>
      </c>
    </row>
    <row r="11" spans="1:76">
      <c r="A11" s="37" t="s">
        <v>79</v>
      </c>
      <c r="B11" s="38" t="s">
        <v>79</v>
      </c>
      <c r="C11" s="146" t="s">
        <v>93</v>
      </c>
      <c r="D11" s="147"/>
      <c r="E11" s="38" t="s">
        <v>79</v>
      </c>
      <c r="F11" s="38" t="s">
        <v>79</v>
      </c>
      <c r="G11" s="39" t="s">
        <v>94</v>
      </c>
      <c r="H11" s="40" t="s">
        <v>95</v>
      </c>
      <c r="J11" s="41"/>
      <c r="Z11" s="35" t="s">
        <v>96</v>
      </c>
      <c r="AA11" s="35" t="s">
        <v>97</v>
      </c>
      <c r="AB11" s="35" t="s">
        <v>98</v>
      </c>
      <c r="AC11" s="35" t="s">
        <v>99</v>
      </c>
      <c r="AD11" s="35" t="s">
        <v>100</v>
      </c>
      <c r="AE11" s="35" t="s">
        <v>101</v>
      </c>
      <c r="AF11" s="35" t="s">
        <v>102</v>
      </c>
      <c r="AG11" s="35" t="s">
        <v>103</v>
      </c>
      <c r="AH11" s="35" t="s">
        <v>104</v>
      </c>
      <c r="BH11" s="35" t="s">
        <v>105</v>
      </c>
      <c r="BI11" s="35" t="s">
        <v>106</v>
      </c>
      <c r="BJ11" s="35" t="s">
        <v>107</v>
      </c>
    </row>
    <row r="12" spans="1:76">
      <c r="A12" s="42" t="s">
        <v>4</v>
      </c>
      <c r="B12" s="43" t="s">
        <v>4</v>
      </c>
      <c r="C12" s="148" t="s">
        <v>108</v>
      </c>
      <c r="D12" s="149"/>
      <c r="E12" s="44" t="s">
        <v>79</v>
      </c>
      <c r="F12" s="44" t="s">
        <v>79</v>
      </c>
      <c r="G12" s="45" t="s">
        <v>79</v>
      </c>
      <c r="H12" s="46">
        <f>H13+H30+H70+H77+H86+H108+H110+H122+H133+H145+H168+H172+H174+H190+H206+H226+H230+H246+H251+H261+H268+H270</f>
        <v>0</v>
      </c>
      <c r="J12" s="41"/>
    </row>
    <row r="13" spans="1:76">
      <c r="A13" s="47" t="s">
        <v>4</v>
      </c>
      <c r="B13" s="48" t="s">
        <v>109</v>
      </c>
      <c r="C13" s="150" t="s">
        <v>110</v>
      </c>
      <c r="D13" s="151"/>
      <c r="E13" s="49" t="s">
        <v>79</v>
      </c>
      <c r="F13" s="49" t="s">
        <v>79</v>
      </c>
      <c r="G13" s="50" t="s">
        <v>79</v>
      </c>
      <c r="H13" s="28">
        <f>SUM(H14:H28)</f>
        <v>0</v>
      </c>
      <c r="J13" s="41"/>
      <c r="AI13" s="35" t="s">
        <v>4</v>
      </c>
      <c r="AS13" s="28">
        <f>SUM(AJ14:AJ28)</f>
        <v>0</v>
      </c>
      <c r="AT13" s="28">
        <f>SUM(AK14:AK28)</f>
        <v>0</v>
      </c>
      <c r="AU13" s="28">
        <f>SUM(AL14:AL28)</f>
        <v>0</v>
      </c>
    </row>
    <row r="14" spans="1:76">
      <c r="A14" s="1" t="s">
        <v>111</v>
      </c>
      <c r="B14" s="2" t="s">
        <v>112</v>
      </c>
      <c r="C14" s="75" t="s">
        <v>113</v>
      </c>
      <c r="D14" s="70"/>
      <c r="E14" s="2" t="s">
        <v>114</v>
      </c>
      <c r="F14" s="51">
        <v>2</v>
      </c>
      <c r="G14" s="52">
        <v>0</v>
      </c>
      <c r="H14" s="51">
        <f>ROUND(F14*G14,2)</f>
        <v>0</v>
      </c>
      <c r="J14" s="41"/>
      <c r="Z14" s="51">
        <f>ROUND(IF(AQ14="5",BJ14,0),2)</f>
        <v>0</v>
      </c>
      <c r="AB14" s="51">
        <f>ROUND(IF(AQ14="1",BH14,0),2)</f>
        <v>0</v>
      </c>
      <c r="AC14" s="51">
        <f>ROUND(IF(AQ14="1",BI14,0),2)</f>
        <v>0</v>
      </c>
      <c r="AD14" s="51">
        <f>ROUND(IF(AQ14="7",BH14,0),2)</f>
        <v>0</v>
      </c>
      <c r="AE14" s="51">
        <f>ROUND(IF(AQ14="7",BI14,0),2)</f>
        <v>0</v>
      </c>
      <c r="AF14" s="51">
        <f>ROUND(IF(AQ14="2",BH14,0),2)</f>
        <v>0</v>
      </c>
      <c r="AG14" s="51">
        <f>ROUND(IF(AQ14="2",BI14,0),2)</f>
        <v>0</v>
      </c>
      <c r="AH14" s="51">
        <f>ROUND(IF(AQ14="0",BJ14,0),2)</f>
        <v>0</v>
      </c>
      <c r="AI14" s="35" t="s">
        <v>4</v>
      </c>
      <c r="AJ14" s="51">
        <f>IF(AN14=0,H14,0)</f>
        <v>0</v>
      </c>
      <c r="AK14" s="51">
        <f>IF(AN14=12,H14,0)</f>
        <v>0</v>
      </c>
      <c r="AL14" s="51">
        <f>IF(AN14=21,H14,0)</f>
        <v>0</v>
      </c>
      <c r="AN14" s="51">
        <v>12</v>
      </c>
      <c r="AO14" s="51">
        <f>G14*0.414573643</f>
        <v>0</v>
      </c>
      <c r="AP14" s="51">
        <f>G14*(1-0.414573643)</f>
        <v>0</v>
      </c>
      <c r="AQ14" s="53" t="s">
        <v>111</v>
      </c>
      <c r="AV14" s="51">
        <f>ROUND(AW14+AX14,2)</f>
        <v>0</v>
      </c>
      <c r="AW14" s="51">
        <f>ROUND(F14*AO14,2)</f>
        <v>0</v>
      </c>
      <c r="AX14" s="51">
        <f>ROUND(F14*AP14,2)</f>
        <v>0</v>
      </c>
      <c r="AY14" s="53" t="s">
        <v>115</v>
      </c>
      <c r="AZ14" s="53" t="s">
        <v>116</v>
      </c>
      <c r="BA14" s="35" t="s">
        <v>117</v>
      </c>
      <c r="BC14" s="51">
        <f>AW14+AX14</f>
        <v>0</v>
      </c>
      <c r="BD14" s="51">
        <f>G14/(100-BE14)*100</f>
        <v>0</v>
      </c>
      <c r="BE14" s="51">
        <v>0</v>
      </c>
      <c r="BF14" s="51">
        <f>14</f>
        <v>14</v>
      </c>
      <c r="BH14" s="51">
        <f>F14*AO14</f>
        <v>0</v>
      </c>
      <c r="BI14" s="51">
        <f>F14*AP14</f>
        <v>0</v>
      </c>
      <c r="BJ14" s="51">
        <f>F14*G14</f>
        <v>0</v>
      </c>
      <c r="BK14" s="53" t="s">
        <v>118</v>
      </c>
      <c r="BL14" s="51">
        <v>34</v>
      </c>
      <c r="BW14" s="51">
        <v>12</v>
      </c>
      <c r="BX14" s="3" t="s">
        <v>113</v>
      </c>
    </row>
    <row r="15" spans="1:76" ht="13.5" customHeight="1">
      <c r="A15" s="54"/>
      <c r="B15" s="55" t="s">
        <v>119</v>
      </c>
      <c r="C15" s="152" t="s">
        <v>120</v>
      </c>
      <c r="D15" s="153"/>
      <c r="E15" s="153"/>
      <c r="F15" s="153"/>
      <c r="G15" s="154"/>
      <c r="H15" s="153"/>
      <c r="I15" s="153"/>
      <c r="J15" s="155"/>
    </row>
    <row r="16" spans="1:76">
      <c r="A16" s="1" t="s">
        <v>121</v>
      </c>
      <c r="B16" s="2" t="s">
        <v>122</v>
      </c>
      <c r="C16" s="75" t="s">
        <v>123</v>
      </c>
      <c r="D16" s="70"/>
      <c r="E16" s="2" t="s">
        <v>124</v>
      </c>
      <c r="F16" s="51">
        <v>3</v>
      </c>
      <c r="G16" s="52">
        <v>0</v>
      </c>
      <c r="H16" s="51">
        <f>ROUND(F16*G16,2)</f>
        <v>0</v>
      </c>
      <c r="J16" s="41"/>
      <c r="Z16" s="51">
        <f>ROUND(IF(AQ16="5",BJ16,0),2)</f>
        <v>0</v>
      </c>
      <c r="AB16" s="51">
        <f>ROUND(IF(AQ16="1",BH16,0),2)</f>
        <v>0</v>
      </c>
      <c r="AC16" s="51">
        <f>ROUND(IF(AQ16="1",BI16,0),2)</f>
        <v>0</v>
      </c>
      <c r="AD16" s="51">
        <f>ROUND(IF(AQ16="7",BH16,0),2)</f>
        <v>0</v>
      </c>
      <c r="AE16" s="51">
        <f>ROUND(IF(AQ16="7",BI16,0),2)</f>
        <v>0</v>
      </c>
      <c r="AF16" s="51">
        <f>ROUND(IF(AQ16="2",BH16,0),2)</f>
        <v>0</v>
      </c>
      <c r="AG16" s="51">
        <f>ROUND(IF(AQ16="2",BI16,0),2)</f>
        <v>0</v>
      </c>
      <c r="AH16" s="51">
        <f>ROUND(IF(AQ16="0",BJ16,0),2)</f>
        <v>0</v>
      </c>
      <c r="AI16" s="35" t="s">
        <v>4</v>
      </c>
      <c r="AJ16" s="51">
        <f>IF(AN16=0,H16,0)</f>
        <v>0</v>
      </c>
      <c r="AK16" s="51">
        <f>IF(AN16=12,H16,0)</f>
        <v>0</v>
      </c>
      <c r="AL16" s="51">
        <f>IF(AN16=21,H16,0)</f>
        <v>0</v>
      </c>
      <c r="AN16" s="51">
        <v>12</v>
      </c>
      <c r="AO16" s="51">
        <f>G16*0.50107095</f>
        <v>0</v>
      </c>
      <c r="AP16" s="51">
        <f>G16*(1-0.50107095)</f>
        <v>0</v>
      </c>
      <c r="AQ16" s="53" t="s">
        <v>111</v>
      </c>
      <c r="AV16" s="51">
        <f>ROUND(AW16+AX16,2)</f>
        <v>0</v>
      </c>
      <c r="AW16" s="51">
        <f>ROUND(F16*AO16,2)</f>
        <v>0</v>
      </c>
      <c r="AX16" s="51">
        <f>ROUND(F16*AP16,2)</f>
        <v>0</v>
      </c>
      <c r="AY16" s="53" t="s">
        <v>115</v>
      </c>
      <c r="AZ16" s="53" t="s">
        <v>116</v>
      </c>
      <c r="BA16" s="35" t="s">
        <v>117</v>
      </c>
      <c r="BC16" s="51">
        <f>AW16+AX16</f>
        <v>0</v>
      </c>
      <c r="BD16" s="51">
        <f>G16/(100-BE16)*100</f>
        <v>0</v>
      </c>
      <c r="BE16" s="51">
        <v>0</v>
      </c>
      <c r="BF16" s="51">
        <f>16</f>
        <v>16</v>
      </c>
      <c r="BH16" s="51">
        <f>F16*AO16</f>
        <v>0</v>
      </c>
      <c r="BI16" s="51">
        <f>F16*AP16</f>
        <v>0</v>
      </c>
      <c r="BJ16" s="51">
        <f>F16*G16</f>
        <v>0</v>
      </c>
      <c r="BK16" s="53" t="s">
        <v>118</v>
      </c>
      <c r="BL16" s="51">
        <v>34</v>
      </c>
      <c r="BW16" s="51">
        <v>12</v>
      </c>
      <c r="BX16" s="3" t="s">
        <v>123</v>
      </c>
    </row>
    <row r="17" spans="1:76">
      <c r="A17" s="54"/>
      <c r="C17" s="56" t="s">
        <v>125</v>
      </c>
      <c r="D17" s="57" t="s">
        <v>126</v>
      </c>
      <c r="F17" s="58">
        <v>3</v>
      </c>
      <c r="J17" s="41"/>
    </row>
    <row r="18" spans="1:76">
      <c r="A18" s="1" t="s">
        <v>127</v>
      </c>
      <c r="B18" s="2" t="s">
        <v>128</v>
      </c>
      <c r="C18" s="75" t="s">
        <v>129</v>
      </c>
      <c r="D18" s="70"/>
      <c r="E18" s="2" t="s">
        <v>124</v>
      </c>
      <c r="F18" s="51">
        <v>2.64</v>
      </c>
      <c r="G18" s="52">
        <v>0</v>
      </c>
      <c r="H18" s="51">
        <f>ROUND(F18*G18,2)</f>
        <v>0</v>
      </c>
      <c r="J18" s="41"/>
      <c r="Z18" s="51">
        <f>ROUND(IF(AQ18="5",BJ18,0),2)</f>
        <v>0</v>
      </c>
      <c r="AB18" s="51">
        <f>ROUND(IF(AQ18="1",BH18,0),2)</f>
        <v>0</v>
      </c>
      <c r="AC18" s="51">
        <f>ROUND(IF(AQ18="1",BI18,0),2)</f>
        <v>0</v>
      </c>
      <c r="AD18" s="51">
        <f>ROUND(IF(AQ18="7",BH18,0),2)</f>
        <v>0</v>
      </c>
      <c r="AE18" s="51">
        <f>ROUND(IF(AQ18="7",BI18,0),2)</f>
        <v>0</v>
      </c>
      <c r="AF18" s="51">
        <f>ROUND(IF(AQ18="2",BH18,0),2)</f>
        <v>0</v>
      </c>
      <c r="AG18" s="51">
        <f>ROUND(IF(AQ18="2",BI18,0),2)</f>
        <v>0</v>
      </c>
      <c r="AH18" s="51">
        <f>ROUND(IF(AQ18="0",BJ18,0),2)</f>
        <v>0</v>
      </c>
      <c r="AI18" s="35" t="s">
        <v>4</v>
      </c>
      <c r="AJ18" s="51">
        <f>IF(AN18=0,H18,0)</f>
        <v>0</v>
      </c>
      <c r="AK18" s="51">
        <f>IF(AN18=12,H18,0)</f>
        <v>0</v>
      </c>
      <c r="AL18" s="51">
        <f>IF(AN18=21,H18,0)</f>
        <v>0</v>
      </c>
      <c r="AN18" s="51">
        <v>12</v>
      </c>
      <c r="AO18" s="51">
        <f>G18*0.569157496</f>
        <v>0</v>
      </c>
      <c r="AP18" s="51">
        <f>G18*(1-0.569157496)</f>
        <v>0</v>
      </c>
      <c r="AQ18" s="53" t="s">
        <v>111</v>
      </c>
      <c r="AV18" s="51">
        <f>ROUND(AW18+AX18,2)</f>
        <v>0</v>
      </c>
      <c r="AW18" s="51">
        <f>ROUND(F18*AO18,2)</f>
        <v>0</v>
      </c>
      <c r="AX18" s="51">
        <f>ROUND(F18*AP18,2)</f>
        <v>0</v>
      </c>
      <c r="AY18" s="53" t="s">
        <v>115</v>
      </c>
      <c r="AZ18" s="53" t="s">
        <v>116</v>
      </c>
      <c r="BA18" s="35" t="s">
        <v>117</v>
      </c>
      <c r="BC18" s="51">
        <f>AW18+AX18</f>
        <v>0</v>
      </c>
      <c r="BD18" s="51">
        <f>G18/(100-BE18)*100</f>
        <v>0</v>
      </c>
      <c r="BE18" s="51">
        <v>0</v>
      </c>
      <c r="BF18" s="51">
        <f>18</f>
        <v>18</v>
      </c>
      <c r="BH18" s="51">
        <f>F18*AO18</f>
        <v>0</v>
      </c>
      <c r="BI18" s="51">
        <f>F18*AP18</f>
        <v>0</v>
      </c>
      <c r="BJ18" s="51">
        <f>F18*G18</f>
        <v>0</v>
      </c>
      <c r="BK18" s="53" t="s">
        <v>118</v>
      </c>
      <c r="BL18" s="51">
        <v>34</v>
      </c>
      <c r="BW18" s="51">
        <v>12</v>
      </c>
      <c r="BX18" s="3" t="s">
        <v>129</v>
      </c>
    </row>
    <row r="19" spans="1:76">
      <c r="A19" s="54"/>
      <c r="C19" s="56" t="s">
        <v>130</v>
      </c>
      <c r="D19" s="57" t="s">
        <v>131</v>
      </c>
      <c r="F19" s="58">
        <v>2.64</v>
      </c>
      <c r="J19" s="41"/>
    </row>
    <row r="20" spans="1:76">
      <c r="A20" s="1" t="s">
        <v>132</v>
      </c>
      <c r="B20" s="2" t="s">
        <v>133</v>
      </c>
      <c r="C20" s="75" t="s">
        <v>134</v>
      </c>
      <c r="D20" s="70"/>
      <c r="E20" s="2" t="s">
        <v>124</v>
      </c>
      <c r="F20" s="51">
        <v>13.206</v>
      </c>
      <c r="G20" s="52">
        <v>0</v>
      </c>
      <c r="H20" s="51">
        <f>ROUND(F20*G20,2)</f>
        <v>0</v>
      </c>
      <c r="J20" s="41"/>
      <c r="Z20" s="51">
        <f>ROUND(IF(AQ20="5",BJ20,0),2)</f>
        <v>0</v>
      </c>
      <c r="AB20" s="51">
        <f>ROUND(IF(AQ20="1",BH20,0),2)</f>
        <v>0</v>
      </c>
      <c r="AC20" s="51">
        <f>ROUND(IF(AQ20="1",BI20,0),2)</f>
        <v>0</v>
      </c>
      <c r="AD20" s="51">
        <f>ROUND(IF(AQ20="7",BH20,0),2)</f>
        <v>0</v>
      </c>
      <c r="AE20" s="51">
        <f>ROUND(IF(AQ20="7",BI20,0),2)</f>
        <v>0</v>
      </c>
      <c r="AF20" s="51">
        <f>ROUND(IF(AQ20="2",BH20,0),2)</f>
        <v>0</v>
      </c>
      <c r="AG20" s="51">
        <f>ROUND(IF(AQ20="2",BI20,0),2)</f>
        <v>0</v>
      </c>
      <c r="AH20" s="51">
        <f>ROUND(IF(AQ20="0",BJ20,0),2)</f>
        <v>0</v>
      </c>
      <c r="AI20" s="35" t="s">
        <v>4</v>
      </c>
      <c r="AJ20" s="51">
        <f>IF(AN20=0,H20,0)</f>
        <v>0</v>
      </c>
      <c r="AK20" s="51">
        <f>IF(AN20=12,H20,0)</f>
        <v>0</v>
      </c>
      <c r="AL20" s="51">
        <f>IF(AN20=21,H20,0)</f>
        <v>0</v>
      </c>
      <c r="AN20" s="51">
        <v>12</v>
      </c>
      <c r="AO20" s="51">
        <f>G20*0.603356402</f>
        <v>0</v>
      </c>
      <c r="AP20" s="51">
        <f>G20*(1-0.603356402)</f>
        <v>0</v>
      </c>
      <c r="AQ20" s="53" t="s">
        <v>111</v>
      </c>
      <c r="AV20" s="51">
        <f>ROUND(AW20+AX20,2)</f>
        <v>0</v>
      </c>
      <c r="AW20" s="51">
        <f>ROUND(F20*AO20,2)</f>
        <v>0</v>
      </c>
      <c r="AX20" s="51">
        <f>ROUND(F20*AP20,2)</f>
        <v>0</v>
      </c>
      <c r="AY20" s="53" t="s">
        <v>115</v>
      </c>
      <c r="AZ20" s="53" t="s">
        <v>116</v>
      </c>
      <c r="BA20" s="35" t="s">
        <v>117</v>
      </c>
      <c r="BC20" s="51">
        <f>AW20+AX20</f>
        <v>0</v>
      </c>
      <c r="BD20" s="51">
        <f>G20/(100-BE20)*100</f>
        <v>0</v>
      </c>
      <c r="BE20" s="51">
        <v>0</v>
      </c>
      <c r="BF20" s="51">
        <f>20</f>
        <v>20</v>
      </c>
      <c r="BH20" s="51">
        <f>F20*AO20</f>
        <v>0</v>
      </c>
      <c r="BI20" s="51">
        <f>F20*AP20</f>
        <v>0</v>
      </c>
      <c r="BJ20" s="51">
        <f>F20*G20</f>
        <v>0</v>
      </c>
      <c r="BK20" s="53" t="s">
        <v>118</v>
      </c>
      <c r="BL20" s="51">
        <v>34</v>
      </c>
      <c r="BW20" s="51">
        <v>12</v>
      </c>
      <c r="BX20" s="3" t="s">
        <v>134</v>
      </c>
    </row>
    <row r="21" spans="1:76">
      <c r="A21" s="54"/>
      <c r="C21" s="56" t="s">
        <v>135</v>
      </c>
      <c r="D21" s="57" t="s">
        <v>136</v>
      </c>
      <c r="F21" s="58">
        <v>5.81</v>
      </c>
      <c r="J21" s="41"/>
    </row>
    <row r="22" spans="1:76">
      <c r="A22" s="54"/>
      <c r="C22" s="56" t="s">
        <v>137</v>
      </c>
      <c r="D22" s="57" t="s">
        <v>138</v>
      </c>
      <c r="F22" s="58">
        <v>7.3959999999999999</v>
      </c>
      <c r="J22" s="41"/>
    </row>
    <row r="23" spans="1:76">
      <c r="A23" s="1" t="s">
        <v>139</v>
      </c>
      <c r="B23" s="2" t="s">
        <v>140</v>
      </c>
      <c r="C23" s="75" t="s">
        <v>141</v>
      </c>
      <c r="D23" s="70"/>
      <c r="E23" s="2" t="s">
        <v>114</v>
      </c>
      <c r="F23" s="51">
        <v>2</v>
      </c>
      <c r="G23" s="52">
        <v>0</v>
      </c>
      <c r="H23" s="51">
        <f>ROUND(F23*G23,2)</f>
        <v>0</v>
      </c>
      <c r="J23" s="41"/>
      <c r="Z23" s="51">
        <f>ROUND(IF(AQ23="5",BJ23,0),2)</f>
        <v>0</v>
      </c>
      <c r="AB23" s="51">
        <f>ROUND(IF(AQ23="1",BH23,0),2)</f>
        <v>0</v>
      </c>
      <c r="AC23" s="51">
        <f>ROUND(IF(AQ23="1",BI23,0),2)</f>
        <v>0</v>
      </c>
      <c r="AD23" s="51">
        <f>ROUND(IF(AQ23="7",BH23,0),2)</f>
        <v>0</v>
      </c>
      <c r="AE23" s="51">
        <f>ROUND(IF(AQ23="7",BI23,0),2)</f>
        <v>0</v>
      </c>
      <c r="AF23" s="51">
        <f>ROUND(IF(AQ23="2",BH23,0),2)</f>
        <v>0</v>
      </c>
      <c r="AG23" s="51">
        <f>ROUND(IF(AQ23="2",BI23,0),2)</f>
        <v>0</v>
      </c>
      <c r="AH23" s="51">
        <f>ROUND(IF(AQ23="0",BJ23,0),2)</f>
        <v>0</v>
      </c>
      <c r="AI23" s="35" t="s">
        <v>4</v>
      </c>
      <c r="AJ23" s="51">
        <f>IF(AN23=0,H23,0)</f>
        <v>0</v>
      </c>
      <c r="AK23" s="51">
        <f>IF(AN23=12,H23,0)</f>
        <v>0</v>
      </c>
      <c r="AL23" s="51">
        <f>IF(AN23=21,H23,0)</f>
        <v>0</v>
      </c>
      <c r="AN23" s="51">
        <v>12</v>
      </c>
      <c r="AO23" s="51">
        <f>G23*0.8382846</f>
        <v>0</v>
      </c>
      <c r="AP23" s="51">
        <f>G23*(1-0.8382846)</f>
        <v>0</v>
      </c>
      <c r="AQ23" s="53" t="s">
        <v>111</v>
      </c>
      <c r="AV23" s="51">
        <f>ROUND(AW23+AX23,2)</f>
        <v>0</v>
      </c>
      <c r="AW23" s="51">
        <f>ROUND(F23*AO23,2)</f>
        <v>0</v>
      </c>
      <c r="AX23" s="51">
        <f>ROUND(F23*AP23,2)</f>
        <v>0</v>
      </c>
      <c r="AY23" s="53" t="s">
        <v>115</v>
      </c>
      <c r="AZ23" s="53" t="s">
        <v>116</v>
      </c>
      <c r="BA23" s="35" t="s">
        <v>117</v>
      </c>
      <c r="BC23" s="51">
        <f>AW23+AX23</f>
        <v>0</v>
      </c>
      <c r="BD23" s="51">
        <f>G23/(100-BE23)*100</f>
        <v>0</v>
      </c>
      <c r="BE23" s="51">
        <v>0</v>
      </c>
      <c r="BF23" s="51">
        <f>23</f>
        <v>23</v>
      </c>
      <c r="BH23" s="51">
        <f>F23*AO23</f>
        <v>0</v>
      </c>
      <c r="BI23" s="51">
        <f>F23*AP23</f>
        <v>0</v>
      </c>
      <c r="BJ23" s="51">
        <f>F23*G23</f>
        <v>0</v>
      </c>
      <c r="BK23" s="53" t="s">
        <v>118</v>
      </c>
      <c r="BL23" s="51">
        <v>34</v>
      </c>
      <c r="BW23" s="51">
        <v>12</v>
      </c>
      <c r="BX23" s="3" t="s">
        <v>141</v>
      </c>
    </row>
    <row r="24" spans="1:76" ht="13.5" customHeight="1">
      <c r="A24" s="54"/>
      <c r="B24" s="55" t="s">
        <v>119</v>
      </c>
      <c r="C24" s="152" t="s">
        <v>142</v>
      </c>
      <c r="D24" s="153"/>
      <c r="E24" s="153"/>
      <c r="F24" s="153"/>
      <c r="G24" s="154"/>
      <c r="H24" s="153"/>
      <c r="I24" s="153"/>
      <c r="J24" s="155"/>
    </row>
    <row r="25" spans="1:76">
      <c r="A25" s="1" t="s">
        <v>143</v>
      </c>
      <c r="B25" s="2" t="s">
        <v>144</v>
      </c>
      <c r="C25" s="75" t="s">
        <v>145</v>
      </c>
      <c r="D25" s="70"/>
      <c r="E25" s="2" t="s">
        <v>146</v>
      </c>
      <c r="F25" s="51">
        <v>7.56</v>
      </c>
      <c r="G25" s="52">
        <v>0</v>
      </c>
      <c r="H25" s="51">
        <f>ROUND(F25*G25,2)</f>
        <v>0</v>
      </c>
      <c r="J25" s="41"/>
      <c r="Z25" s="51">
        <f>ROUND(IF(AQ25="5",BJ25,0),2)</f>
        <v>0</v>
      </c>
      <c r="AB25" s="51">
        <f>ROUND(IF(AQ25="1",BH25,0),2)</f>
        <v>0</v>
      </c>
      <c r="AC25" s="51">
        <f>ROUND(IF(AQ25="1",BI25,0),2)</f>
        <v>0</v>
      </c>
      <c r="AD25" s="51">
        <f>ROUND(IF(AQ25="7",BH25,0),2)</f>
        <v>0</v>
      </c>
      <c r="AE25" s="51">
        <f>ROUND(IF(AQ25="7",BI25,0),2)</f>
        <v>0</v>
      </c>
      <c r="AF25" s="51">
        <f>ROUND(IF(AQ25="2",BH25,0),2)</f>
        <v>0</v>
      </c>
      <c r="AG25" s="51">
        <f>ROUND(IF(AQ25="2",BI25,0),2)</f>
        <v>0</v>
      </c>
      <c r="AH25" s="51">
        <f>ROUND(IF(AQ25="0",BJ25,0),2)</f>
        <v>0</v>
      </c>
      <c r="AI25" s="35" t="s">
        <v>4</v>
      </c>
      <c r="AJ25" s="51">
        <f>IF(AN25=0,H25,0)</f>
        <v>0</v>
      </c>
      <c r="AK25" s="51">
        <f>IF(AN25=12,H25,0)</f>
        <v>0</v>
      </c>
      <c r="AL25" s="51">
        <f>IF(AN25=21,H25,0)</f>
        <v>0</v>
      </c>
      <c r="AN25" s="51">
        <v>12</v>
      </c>
      <c r="AO25" s="51">
        <f>G25*0.154949562</f>
        <v>0</v>
      </c>
      <c r="AP25" s="51">
        <f>G25*(1-0.154949562)</f>
        <v>0</v>
      </c>
      <c r="AQ25" s="53" t="s">
        <v>111</v>
      </c>
      <c r="AV25" s="51">
        <f>ROUND(AW25+AX25,2)</f>
        <v>0</v>
      </c>
      <c r="AW25" s="51">
        <f>ROUND(F25*AO25,2)</f>
        <v>0</v>
      </c>
      <c r="AX25" s="51">
        <f>ROUND(F25*AP25,2)</f>
        <v>0</v>
      </c>
      <c r="AY25" s="53" t="s">
        <v>115</v>
      </c>
      <c r="AZ25" s="53" t="s">
        <v>116</v>
      </c>
      <c r="BA25" s="35" t="s">
        <v>117</v>
      </c>
      <c r="BC25" s="51">
        <f>AW25+AX25</f>
        <v>0</v>
      </c>
      <c r="BD25" s="51">
        <f>G25/(100-BE25)*100</f>
        <v>0</v>
      </c>
      <c r="BE25" s="51">
        <v>0</v>
      </c>
      <c r="BF25" s="51">
        <f>25</f>
        <v>25</v>
      </c>
      <c r="BH25" s="51">
        <f>F25*AO25</f>
        <v>0</v>
      </c>
      <c r="BI25" s="51">
        <f>F25*AP25</f>
        <v>0</v>
      </c>
      <c r="BJ25" s="51">
        <f>F25*G25</f>
        <v>0</v>
      </c>
      <c r="BK25" s="53" t="s">
        <v>118</v>
      </c>
      <c r="BL25" s="51">
        <v>34</v>
      </c>
      <c r="BW25" s="51">
        <v>12</v>
      </c>
      <c r="BX25" s="3" t="s">
        <v>145</v>
      </c>
    </row>
    <row r="26" spans="1:76">
      <c r="A26" s="54"/>
      <c r="C26" s="56" t="s">
        <v>147</v>
      </c>
      <c r="D26" s="57" t="s">
        <v>4</v>
      </c>
      <c r="F26" s="58">
        <v>1.25</v>
      </c>
      <c r="J26" s="41"/>
    </row>
    <row r="27" spans="1:76">
      <c r="A27" s="54"/>
      <c r="C27" s="56" t="s">
        <v>148</v>
      </c>
      <c r="D27" s="57" t="s">
        <v>4</v>
      </c>
      <c r="F27" s="58">
        <v>6.31</v>
      </c>
      <c r="J27" s="41"/>
    </row>
    <row r="28" spans="1:76">
      <c r="A28" s="1" t="s">
        <v>149</v>
      </c>
      <c r="B28" s="2" t="s">
        <v>150</v>
      </c>
      <c r="C28" s="75" t="s">
        <v>151</v>
      </c>
      <c r="D28" s="70"/>
      <c r="E28" s="2" t="s">
        <v>146</v>
      </c>
      <c r="F28" s="51">
        <v>10.4</v>
      </c>
      <c r="G28" s="52">
        <v>0</v>
      </c>
      <c r="H28" s="51">
        <f>ROUND(F28*G28,2)</f>
        <v>0</v>
      </c>
      <c r="J28" s="41"/>
      <c r="Z28" s="51">
        <f>ROUND(IF(AQ28="5",BJ28,0),2)</f>
        <v>0</v>
      </c>
      <c r="AB28" s="51">
        <f>ROUND(IF(AQ28="1",BH28,0),2)</f>
        <v>0</v>
      </c>
      <c r="AC28" s="51">
        <f>ROUND(IF(AQ28="1",BI28,0),2)</f>
        <v>0</v>
      </c>
      <c r="AD28" s="51">
        <f>ROUND(IF(AQ28="7",BH28,0),2)</f>
        <v>0</v>
      </c>
      <c r="AE28" s="51">
        <f>ROUND(IF(AQ28="7",BI28,0),2)</f>
        <v>0</v>
      </c>
      <c r="AF28" s="51">
        <f>ROUND(IF(AQ28="2",BH28,0),2)</f>
        <v>0</v>
      </c>
      <c r="AG28" s="51">
        <f>ROUND(IF(AQ28="2",BI28,0),2)</f>
        <v>0</v>
      </c>
      <c r="AH28" s="51">
        <f>ROUND(IF(AQ28="0",BJ28,0),2)</f>
        <v>0</v>
      </c>
      <c r="AI28" s="35" t="s">
        <v>4</v>
      </c>
      <c r="AJ28" s="51">
        <f>IF(AN28=0,H28,0)</f>
        <v>0</v>
      </c>
      <c r="AK28" s="51">
        <f>IF(AN28=12,H28,0)</f>
        <v>0</v>
      </c>
      <c r="AL28" s="51">
        <f>IF(AN28=21,H28,0)</f>
        <v>0</v>
      </c>
      <c r="AN28" s="51">
        <v>12</v>
      </c>
      <c r="AO28" s="51">
        <f>G28*0.177739868</f>
        <v>0</v>
      </c>
      <c r="AP28" s="51">
        <f>G28*(1-0.177739868)</f>
        <v>0</v>
      </c>
      <c r="AQ28" s="53" t="s">
        <v>111</v>
      </c>
      <c r="AV28" s="51">
        <f>ROUND(AW28+AX28,2)</f>
        <v>0</v>
      </c>
      <c r="AW28" s="51">
        <f>ROUND(F28*AO28,2)</f>
        <v>0</v>
      </c>
      <c r="AX28" s="51">
        <f>ROUND(F28*AP28,2)</f>
        <v>0</v>
      </c>
      <c r="AY28" s="53" t="s">
        <v>115</v>
      </c>
      <c r="AZ28" s="53" t="s">
        <v>116</v>
      </c>
      <c r="BA28" s="35" t="s">
        <v>117</v>
      </c>
      <c r="BC28" s="51">
        <f>AW28+AX28</f>
        <v>0</v>
      </c>
      <c r="BD28" s="51">
        <f>G28/(100-BE28)*100</f>
        <v>0</v>
      </c>
      <c r="BE28" s="51">
        <v>0</v>
      </c>
      <c r="BF28" s="51">
        <f>28</f>
        <v>28</v>
      </c>
      <c r="BH28" s="51">
        <f>F28*AO28</f>
        <v>0</v>
      </c>
      <c r="BI28" s="51">
        <f>F28*AP28</f>
        <v>0</v>
      </c>
      <c r="BJ28" s="51">
        <f>F28*G28</f>
        <v>0</v>
      </c>
      <c r="BK28" s="53" t="s">
        <v>118</v>
      </c>
      <c r="BL28" s="51">
        <v>34</v>
      </c>
      <c r="BW28" s="51">
        <v>12</v>
      </c>
      <c r="BX28" s="3" t="s">
        <v>151</v>
      </c>
    </row>
    <row r="29" spans="1:76">
      <c r="A29" s="54"/>
      <c r="C29" s="56" t="s">
        <v>152</v>
      </c>
      <c r="D29" s="57" t="s">
        <v>4</v>
      </c>
      <c r="F29" s="58">
        <v>10.4</v>
      </c>
      <c r="J29" s="41"/>
    </row>
    <row r="30" spans="1:76">
      <c r="A30" s="47" t="s">
        <v>4</v>
      </c>
      <c r="B30" s="48" t="s">
        <v>153</v>
      </c>
      <c r="C30" s="150" t="s">
        <v>154</v>
      </c>
      <c r="D30" s="151"/>
      <c r="E30" s="49" t="s">
        <v>79</v>
      </c>
      <c r="F30" s="49" t="s">
        <v>79</v>
      </c>
      <c r="G30" s="50" t="s">
        <v>79</v>
      </c>
      <c r="H30" s="28">
        <f>SUM(H31:H67)</f>
        <v>0</v>
      </c>
      <c r="J30" s="41"/>
      <c r="AI30" s="35" t="s">
        <v>4</v>
      </c>
      <c r="AS30" s="28">
        <f>SUM(AJ31:AJ67)</f>
        <v>0</v>
      </c>
      <c r="AT30" s="28">
        <f>SUM(AK31:AK67)</f>
        <v>0</v>
      </c>
      <c r="AU30" s="28">
        <f>SUM(AL31:AL67)</f>
        <v>0</v>
      </c>
    </row>
    <row r="31" spans="1:76">
      <c r="A31" s="1" t="s">
        <v>155</v>
      </c>
      <c r="B31" s="2" t="s">
        <v>156</v>
      </c>
      <c r="C31" s="75" t="s">
        <v>157</v>
      </c>
      <c r="D31" s="70"/>
      <c r="E31" s="2" t="s">
        <v>124</v>
      </c>
      <c r="F31" s="51">
        <v>40.43</v>
      </c>
      <c r="G31" s="52">
        <v>0</v>
      </c>
      <c r="H31" s="51">
        <f>ROUND(F31*G31,2)</f>
        <v>0</v>
      </c>
      <c r="J31" s="41"/>
      <c r="Z31" s="51">
        <f>ROUND(IF(AQ31="5",BJ31,0),2)</f>
        <v>0</v>
      </c>
      <c r="AB31" s="51">
        <f>ROUND(IF(AQ31="1",BH31,0),2)</f>
        <v>0</v>
      </c>
      <c r="AC31" s="51">
        <f>ROUND(IF(AQ31="1",BI31,0),2)</f>
        <v>0</v>
      </c>
      <c r="AD31" s="51">
        <f>ROUND(IF(AQ31="7",BH31,0),2)</f>
        <v>0</v>
      </c>
      <c r="AE31" s="51">
        <f>ROUND(IF(AQ31="7",BI31,0),2)</f>
        <v>0</v>
      </c>
      <c r="AF31" s="51">
        <f>ROUND(IF(AQ31="2",BH31,0),2)</f>
        <v>0</v>
      </c>
      <c r="AG31" s="51">
        <f>ROUND(IF(AQ31="2",BI31,0),2)</f>
        <v>0</v>
      </c>
      <c r="AH31" s="51">
        <f>ROUND(IF(AQ31="0",BJ31,0),2)</f>
        <v>0</v>
      </c>
      <c r="AI31" s="35" t="s">
        <v>4</v>
      </c>
      <c r="AJ31" s="51">
        <f>IF(AN31=0,H31,0)</f>
        <v>0</v>
      </c>
      <c r="AK31" s="51">
        <f>IF(AN31=12,H31,0)</f>
        <v>0</v>
      </c>
      <c r="AL31" s="51">
        <f>IF(AN31=21,H31,0)</f>
        <v>0</v>
      </c>
      <c r="AN31" s="51">
        <v>12</v>
      </c>
      <c r="AO31" s="51">
        <f>G31*0.144085324</f>
        <v>0</v>
      </c>
      <c r="AP31" s="51">
        <f>G31*(1-0.144085324)</f>
        <v>0</v>
      </c>
      <c r="AQ31" s="53" t="s">
        <v>111</v>
      </c>
      <c r="AV31" s="51">
        <f>ROUND(AW31+AX31,2)</f>
        <v>0</v>
      </c>
      <c r="AW31" s="51">
        <f>ROUND(F31*AO31,2)</f>
        <v>0</v>
      </c>
      <c r="AX31" s="51">
        <f>ROUND(F31*AP31,2)</f>
        <v>0</v>
      </c>
      <c r="AY31" s="53" t="s">
        <v>158</v>
      </c>
      <c r="AZ31" s="53" t="s">
        <v>159</v>
      </c>
      <c r="BA31" s="35" t="s">
        <v>117</v>
      </c>
      <c r="BC31" s="51">
        <f>AW31+AX31</f>
        <v>0</v>
      </c>
      <c r="BD31" s="51">
        <f>G31/(100-BE31)*100</f>
        <v>0</v>
      </c>
      <c r="BE31" s="51">
        <v>0</v>
      </c>
      <c r="BF31" s="51">
        <f>31</f>
        <v>31</v>
      </c>
      <c r="BH31" s="51">
        <f>F31*AO31</f>
        <v>0</v>
      </c>
      <c r="BI31" s="51">
        <f>F31*AP31</f>
        <v>0</v>
      </c>
      <c r="BJ31" s="51">
        <f>F31*G31</f>
        <v>0</v>
      </c>
      <c r="BK31" s="53" t="s">
        <v>118</v>
      </c>
      <c r="BL31" s="51">
        <v>61</v>
      </c>
      <c r="BW31" s="51">
        <v>12</v>
      </c>
      <c r="BX31" s="3" t="s">
        <v>157</v>
      </c>
    </row>
    <row r="32" spans="1:76">
      <c r="A32" s="1" t="s">
        <v>160</v>
      </c>
      <c r="B32" s="2" t="s">
        <v>161</v>
      </c>
      <c r="C32" s="75" t="s">
        <v>162</v>
      </c>
      <c r="D32" s="70"/>
      <c r="E32" s="2" t="s">
        <v>146</v>
      </c>
      <c r="F32" s="51">
        <v>29.824999999999999</v>
      </c>
      <c r="G32" s="52">
        <v>0</v>
      </c>
      <c r="H32" s="51">
        <f>ROUND(F32*G32,2)</f>
        <v>0</v>
      </c>
      <c r="J32" s="41"/>
      <c r="Z32" s="51">
        <f>ROUND(IF(AQ32="5",BJ32,0),2)</f>
        <v>0</v>
      </c>
      <c r="AB32" s="51">
        <f>ROUND(IF(AQ32="1",BH32,0),2)</f>
        <v>0</v>
      </c>
      <c r="AC32" s="51">
        <f>ROUND(IF(AQ32="1",BI32,0),2)</f>
        <v>0</v>
      </c>
      <c r="AD32" s="51">
        <f>ROUND(IF(AQ32="7",BH32,0),2)</f>
        <v>0</v>
      </c>
      <c r="AE32" s="51">
        <f>ROUND(IF(AQ32="7",BI32,0),2)</f>
        <v>0</v>
      </c>
      <c r="AF32" s="51">
        <f>ROUND(IF(AQ32="2",BH32,0),2)</f>
        <v>0</v>
      </c>
      <c r="AG32" s="51">
        <f>ROUND(IF(AQ32="2",BI32,0),2)</f>
        <v>0</v>
      </c>
      <c r="AH32" s="51">
        <f>ROUND(IF(AQ32="0",BJ32,0),2)</f>
        <v>0</v>
      </c>
      <c r="AI32" s="35" t="s">
        <v>4</v>
      </c>
      <c r="AJ32" s="51">
        <f>IF(AN32=0,H32,0)</f>
        <v>0</v>
      </c>
      <c r="AK32" s="51">
        <f>IF(AN32=12,H32,0)</f>
        <v>0</v>
      </c>
      <c r="AL32" s="51">
        <f>IF(AN32=21,H32,0)</f>
        <v>0</v>
      </c>
      <c r="AN32" s="51">
        <v>12</v>
      </c>
      <c r="AO32" s="51">
        <f>G32*0.126026941</f>
        <v>0</v>
      </c>
      <c r="AP32" s="51">
        <f>G32*(1-0.126026941)</f>
        <v>0</v>
      </c>
      <c r="AQ32" s="53" t="s">
        <v>111</v>
      </c>
      <c r="AV32" s="51">
        <f>ROUND(AW32+AX32,2)</f>
        <v>0</v>
      </c>
      <c r="AW32" s="51">
        <f>ROUND(F32*AO32,2)</f>
        <v>0</v>
      </c>
      <c r="AX32" s="51">
        <f>ROUND(F32*AP32,2)</f>
        <v>0</v>
      </c>
      <c r="AY32" s="53" t="s">
        <v>158</v>
      </c>
      <c r="AZ32" s="53" t="s">
        <v>159</v>
      </c>
      <c r="BA32" s="35" t="s">
        <v>117</v>
      </c>
      <c r="BC32" s="51">
        <f>AW32+AX32</f>
        <v>0</v>
      </c>
      <c r="BD32" s="51">
        <f>G32/(100-BE32)*100</f>
        <v>0</v>
      </c>
      <c r="BE32" s="51">
        <v>0</v>
      </c>
      <c r="BF32" s="51">
        <f>32</f>
        <v>32</v>
      </c>
      <c r="BH32" s="51">
        <f>F32*AO32</f>
        <v>0</v>
      </c>
      <c r="BI32" s="51">
        <f>F32*AP32</f>
        <v>0</v>
      </c>
      <c r="BJ32" s="51">
        <f>F32*G32</f>
        <v>0</v>
      </c>
      <c r="BK32" s="53" t="s">
        <v>118</v>
      </c>
      <c r="BL32" s="51">
        <v>61</v>
      </c>
      <c r="BW32" s="51">
        <v>12</v>
      </c>
      <c r="BX32" s="3" t="s">
        <v>162</v>
      </c>
    </row>
    <row r="33" spans="1:76">
      <c r="A33" s="54"/>
      <c r="C33" s="56" t="s">
        <v>163</v>
      </c>
      <c r="D33" s="57" t="s">
        <v>4</v>
      </c>
      <c r="F33" s="58">
        <v>29.824999999999999</v>
      </c>
      <c r="J33" s="41"/>
    </row>
    <row r="34" spans="1:76">
      <c r="A34" s="1" t="s">
        <v>164</v>
      </c>
      <c r="B34" s="2" t="s">
        <v>165</v>
      </c>
      <c r="C34" s="75" t="s">
        <v>166</v>
      </c>
      <c r="D34" s="70"/>
      <c r="E34" s="2" t="s">
        <v>124</v>
      </c>
      <c r="F34" s="51">
        <v>40.43</v>
      </c>
      <c r="G34" s="52">
        <v>0</v>
      </c>
      <c r="H34" s="51">
        <f>ROUND(F34*G34,2)</f>
        <v>0</v>
      </c>
      <c r="J34" s="41"/>
      <c r="Z34" s="51">
        <f>ROUND(IF(AQ34="5",BJ34,0),2)</f>
        <v>0</v>
      </c>
      <c r="AB34" s="51">
        <f>ROUND(IF(AQ34="1",BH34,0),2)</f>
        <v>0</v>
      </c>
      <c r="AC34" s="51">
        <f>ROUND(IF(AQ34="1",BI34,0),2)</f>
        <v>0</v>
      </c>
      <c r="AD34" s="51">
        <f>ROUND(IF(AQ34="7",BH34,0),2)</f>
        <v>0</v>
      </c>
      <c r="AE34" s="51">
        <f>ROUND(IF(AQ34="7",BI34,0),2)</f>
        <v>0</v>
      </c>
      <c r="AF34" s="51">
        <f>ROUND(IF(AQ34="2",BH34,0),2)</f>
        <v>0</v>
      </c>
      <c r="AG34" s="51">
        <f>ROUND(IF(AQ34="2",BI34,0),2)</f>
        <v>0</v>
      </c>
      <c r="AH34" s="51">
        <f>ROUND(IF(AQ34="0",BJ34,0),2)</f>
        <v>0</v>
      </c>
      <c r="AI34" s="35" t="s">
        <v>4</v>
      </c>
      <c r="AJ34" s="51">
        <f>IF(AN34=0,H34,0)</f>
        <v>0</v>
      </c>
      <c r="AK34" s="51">
        <f>IF(AN34=12,H34,0)</f>
        <v>0</v>
      </c>
      <c r="AL34" s="51">
        <f>IF(AN34=21,H34,0)</f>
        <v>0</v>
      </c>
      <c r="AN34" s="51">
        <v>12</v>
      </c>
      <c r="AO34" s="51">
        <f>G34*0.315285963</f>
        <v>0</v>
      </c>
      <c r="AP34" s="51">
        <f>G34*(1-0.315285963)</f>
        <v>0</v>
      </c>
      <c r="AQ34" s="53" t="s">
        <v>111</v>
      </c>
      <c r="AV34" s="51">
        <f>ROUND(AW34+AX34,2)</f>
        <v>0</v>
      </c>
      <c r="AW34" s="51">
        <f>ROUND(F34*AO34,2)</f>
        <v>0</v>
      </c>
      <c r="AX34" s="51">
        <f>ROUND(F34*AP34,2)</f>
        <v>0</v>
      </c>
      <c r="AY34" s="53" t="s">
        <v>158</v>
      </c>
      <c r="AZ34" s="53" t="s">
        <v>159</v>
      </c>
      <c r="BA34" s="35" t="s">
        <v>117</v>
      </c>
      <c r="BC34" s="51">
        <f>AW34+AX34</f>
        <v>0</v>
      </c>
      <c r="BD34" s="51">
        <f>G34/(100-BE34)*100</f>
        <v>0</v>
      </c>
      <c r="BE34" s="51">
        <v>0</v>
      </c>
      <c r="BF34" s="51">
        <f>34</f>
        <v>34</v>
      </c>
      <c r="BH34" s="51">
        <f>F34*AO34</f>
        <v>0</v>
      </c>
      <c r="BI34" s="51">
        <f>F34*AP34</f>
        <v>0</v>
      </c>
      <c r="BJ34" s="51">
        <f>F34*G34</f>
        <v>0</v>
      </c>
      <c r="BK34" s="53" t="s">
        <v>118</v>
      </c>
      <c r="BL34" s="51">
        <v>61</v>
      </c>
      <c r="BW34" s="51">
        <v>12</v>
      </c>
      <c r="BX34" s="3" t="s">
        <v>166</v>
      </c>
    </row>
    <row r="35" spans="1:76">
      <c r="A35" s="54"/>
      <c r="C35" s="56" t="s">
        <v>167</v>
      </c>
      <c r="D35" s="57" t="s">
        <v>4</v>
      </c>
      <c r="F35" s="58">
        <v>40.43</v>
      </c>
      <c r="J35" s="41"/>
    </row>
    <row r="36" spans="1:76">
      <c r="A36" s="1" t="s">
        <v>168</v>
      </c>
      <c r="B36" s="2" t="s">
        <v>169</v>
      </c>
      <c r="C36" s="75" t="s">
        <v>170</v>
      </c>
      <c r="D36" s="70"/>
      <c r="E36" s="2" t="s">
        <v>124</v>
      </c>
      <c r="F36" s="51">
        <v>40.43</v>
      </c>
      <c r="G36" s="52">
        <v>0</v>
      </c>
      <c r="H36" s="51">
        <f>ROUND(F36*G36,2)</f>
        <v>0</v>
      </c>
      <c r="J36" s="41"/>
      <c r="Z36" s="51">
        <f>ROUND(IF(AQ36="5",BJ36,0),2)</f>
        <v>0</v>
      </c>
      <c r="AB36" s="51">
        <f>ROUND(IF(AQ36="1",BH36,0),2)</f>
        <v>0</v>
      </c>
      <c r="AC36" s="51">
        <f>ROUND(IF(AQ36="1",BI36,0),2)</f>
        <v>0</v>
      </c>
      <c r="AD36" s="51">
        <f>ROUND(IF(AQ36="7",BH36,0),2)</f>
        <v>0</v>
      </c>
      <c r="AE36" s="51">
        <f>ROUND(IF(AQ36="7",BI36,0),2)</f>
        <v>0</v>
      </c>
      <c r="AF36" s="51">
        <f>ROUND(IF(AQ36="2",BH36,0),2)</f>
        <v>0</v>
      </c>
      <c r="AG36" s="51">
        <f>ROUND(IF(AQ36="2",BI36,0),2)</f>
        <v>0</v>
      </c>
      <c r="AH36" s="51">
        <f>ROUND(IF(AQ36="0",BJ36,0),2)</f>
        <v>0</v>
      </c>
      <c r="AI36" s="35" t="s">
        <v>4</v>
      </c>
      <c r="AJ36" s="51">
        <f>IF(AN36=0,H36,0)</f>
        <v>0</v>
      </c>
      <c r="AK36" s="51">
        <f>IF(AN36=12,H36,0)</f>
        <v>0</v>
      </c>
      <c r="AL36" s="51">
        <f>IF(AN36=21,H36,0)</f>
        <v>0</v>
      </c>
      <c r="AN36" s="51">
        <v>12</v>
      </c>
      <c r="AO36" s="51">
        <f>G36*0.151900344</f>
        <v>0</v>
      </c>
      <c r="AP36" s="51">
        <f>G36*(1-0.151900344)</f>
        <v>0</v>
      </c>
      <c r="AQ36" s="53" t="s">
        <v>111</v>
      </c>
      <c r="AV36" s="51">
        <f>ROUND(AW36+AX36,2)</f>
        <v>0</v>
      </c>
      <c r="AW36" s="51">
        <f>ROUND(F36*AO36,2)</f>
        <v>0</v>
      </c>
      <c r="AX36" s="51">
        <f>ROUND(F36*AP36,2)</f>
        <v>0</v>
      </c>
      <c r="AY36" s="53" t="s">
        <v>158</v>
      </c>
      <c r="AZ36" s="53" t="s">
        <v>159</v>
      </c>
      <c r="BA36" s="35" t="s">
        <v>117</v>
      </c>
      <c r="BC36" s="51">
        <f>AW36+AX36</f>
        <v>0</v>
      </c>
      <c r="BD36" s="51">
        <f>G36/(100-BE36)*100</f>
        <v>0</v>
      </c>
      <c r="BE36" s="51">
        <v>0</v>
      </c>
      <c r="BF36" s="51">
        <f>36</f>
        <v>36</v>
      </c>
      <c r="BH36" s="51">
        <f>F36*AO36</f>
        <v>0</v>
      </c>
      <c r="BI36" s="51">
        <f>F36*AP36</f>
        <v>0</v>
      </c>
      <c r="BJ36" s="51">
        <f>F36*G36</f>
        <v>0</v>
      </c>
      <c r="BK36" s="53" t="s">
        <v>118</v>
      </c>
      <c r="BL36" s="51">
        <v>61</v>
      </c>
      <c r="BW36" s="51">
        <v>12</v>
      </c>
      <c r="BX36" s="3" t="s">
        <v>170</v>
      </c>
    </row>
    <row r="37" spans="1:76">
      <c r="A37" s="1" t="s">
        <v>171</v>
      </c>
      <c r="B37" s="2" t="s">
        <v>172</v>
      </c>
      <c r="C37" s="75" t="s">
        <v>173</v>
      </c>
      <c r="D37" s="70"/>
      <c r="E37" s="2" t="s">
        <v>124</v>
      </c>
      <c r="F37" s="51">
        <v>112.432</v>
      </c>
      <c r="G37" s="52">
        <v>0</v>
      </c>
      <c r="H37" s="51">
        <f>ROUND(F37*G37,2)</f>
        <v>0</v>
      </c>
      <c r="J37" s="41"/>
      <c r="Z37" s="51">
        <f>ROUND(IF(AQ37="5",BJ37,0),2)</f>
        <v>0</v>
      </c>
      <c r="AB37" s="51">
        <f>ROUND(IF(AQ37="1",BH37,0),2)</f>
        <v>0</v>
      </c>
      <c r="AC37" s="51">
        <f>ROUND(IF(AQ37="1",BI37,0),2)</f>
        <v>0</v>
      </c>
      <c r="AD37" s="51">
        <f>ROUND(IF(AQ37="7",BH37,0),2)</f>
        <v>0</v>
      </c>
      <c r="AE37" s="51">
        <f>ROUND(IF(AQ37="7",BI37,0),2)</f>
        <v>0</v>
      </c>
      <c r="AF37" s="51">
        <f>ROUND(IF(AQ37="2",BH37,0),2)</f>
        <v>0</v>
      </c>
      <c r="AG37" s="51">
        <f>ROUND(IF(AQ37="2",BI37,0),2)</f>
        <v>0</v>
      </c>
      <c r="AH37" s="51">
        <f>ROUND(IF(AQ37="0",BJ37,0),2)</f>
        <v>0</v>
      </c>
      <c r="AI37" s="35" t="s">
        <v>4</v>
      </c>
      <c r="AJ37" s="51">
        <f>IF(AN37=0,H37,0)</f>
        <v>0</v>
      </c>
      <c r="AK37" s="51">
        <f>IF(AN37=12,H37,0)</f>
        <v>0</v>
      </c>
      <c r="AL37" s="51">
        <f>IF(AN37=21,H37,0)</f>
        <v>0</v>
      </c>
      <c r="AN37" s="51">
        <v>12</v>
      </c>
      <c r="AO37" s="51">
        <f>G37*0.369315222</f>
        <v>0</v>
      </c>
      <c r="AP37" s="51">
        <f>G37*(1-0.369315222)</f>
        <v>0</v>
      </c>
      <c r="AQ37" s="53" t="s">
        <v>111</v>
      </c>
      <c r="AV37" s="51">
        <f>ROUND(AW37+AX37,2)</f>
        <v>0</v>
      </c>
      <c r="AW37" s="51">
        <f>ROUND(F37*AO37,2)</f>
        <v>0</v>
      </c>
      <c r="AX37" s="51">
        <f>ROUND(F37*AP37,2)</f>
        <v>0</v>
      </c>
      <c r="AY37" s="53" t="s">
        <v>158</v>
      </c>
      <c r="AZ37" s="53" t="s">
        <v>159</v>
      </c>
      <c r="BA37" s="35" t="s">
        <v>117</v>
      </c>
      <c r="BC37" s="51">
        <f>AW37+AX37</f>
        <v>0</v>
      </c>
      <c r="BD37" s="51">
        <f>G37/(100-BE37)*100</f>
        <v>0</v>
      </c>
      <c r="BE37" s="51">
        <v>0</v>
      </c>
      <c r="BF37" s="51">
        <f>37</f>
        <v>37</v>
      </c>
      <c r="BH37" s="51">
        <f>F37*AO37</f>
        <v>0</v>
      </c>
      <c r="BI37" s="51">
        <f>F37*AP37</f>
        <v>0</v>
      </c>
      <c r="BJ37" s="51">
        <f>F37*G37</f>
        <v>0</v>
      </c>
      <c r="BK37" s="53" t="s">
        <v>118</v>
      </c>
      <c r="BL37" s="51">
        <v>61</v>
      </c>
      <c r="BW37" s="51">
        <v>12</v>
      </c>
      <c r="BX37" s="3" t="s">
        <v>173</v>
      </c>
    </row>
    <row r="38" spans="1:76">
      <c r="A38" s="54"/>
      <c r="C38" s="56" t="s">
        <v>174</v>
      </c>
      <c r="D38" s="57" t="s">
        <v>175</v>
      </c>
      <c r="F38" s="58">
        <v>15.7</v>
      </c>
      <c r="J38" s="41"/>
    </row>
    <row r="39" spans="1:76">
      <c r="A39" s="54"/>
      <c r="C39" s="56" t="s">
        <v>176</v>
      </c>
      <c r="D39" s="57" t="s">
        <v>177</v>
      </c>
      <c r="F39" s="58">
        <v>23.021999999999998</v>
      </c>
      <c r="J39" s="41"/>
    </row>
    <row r="40" spans="1:76">
      <c r="A40" s="54"/>
      <c r="C40" s="56" t="s">
        <v>178</v>
      </c>
      <c r="D40" s="57" t="s">
        <v>179</v>
      </c>
      <c r="F40" s="58">
        <v>28.17</v>
      </c>
      <c r="J40" s="41"/>
    </row>
    <row r="41" spans="1:76">
      <c r="A41" s="54"/>
      <c r="C41" s="56" t="s">
        <v>180</v>
      </c>
      <c r="D41" s="57" t="s">
        <v>181</v>
      </c>
      <c r="F41" s="58">
        <v>0.84</v>
      </c>
      <c r="J41" s="41"/>
    </row>
    <row r="42" spans="1:76">
      <c r="A42" s="54"/>
      <c r="C42" s="56" t="s">
        <v>182</v>
      </c>
      <c r="D42" s="57" t="s">
        <v>183</v>
      </c>
      <c r="F42" s="58">
        <v>43.62</v>
      </c>
      <c r="J42" s="41"/>
    </row>
    <row r="43" spans="1:76">
      <c r="A43" s="54"/>
      <c r="C43" s="56" t="s">
        <v>184</v>
      </c>
      <c r="D43" s="57" t="s">
        <v>185</v>
      </c>
      <c r="F43" s="58">
        <v>1.08</v>
      </c>
      <c r="J43" s="41"/>
    </row>
    <row r="44" spans="1:76">
      <c r="A44" s="1" t="s">
        <v>186</v>
      </c>
      <c r="B44" s="2" t="s">
        <v>187</v>
      </c>
      <c r="C44" s="75" t="s">
        <v>188</v>
      </c>
      <c r="D44" s="70"/>
      <c r="E44" s="2" t="s">
        <v>124</v>
      </c>
      <c r="F44" s="51">
        <v>5</v>
      </c>
      <c r="G44" s="52">
        <v>0</v>
      </c>
      <c r="H44" s="51">
        <f>ROUND(F44*G44,2)</f>
        <v>0</v>
      </c>
      <c r="J44" s="41"/>
      <c r="Z44" s="51">
        <f>ROUND(IF(AQ44="5",BJ44,0),2)</f>
        <v>0</v>
      </c>
      <c r="AB44" s="51">
        <f>ROUND(IF(AQ44="1",BH44,0),2)</f>
        <v>0</v>
      </c>
      <c r="AC44" s="51">
        <f>ROUND(IF(AQ44="1",BI44,0),2)</f>
        <v>0</v>
      </c>
      <c r="AD44" s="51">
        <f>ROUND(IF(AQ44="7",BH44,0),2)</f>
        <v>0</v>
      </c>
      <c r="AE44" s="51">
        <f>ROUND(IF(AQ44="7",BI44,0),2)</f>
        <v>0</v>
      </c>
      <c r="AF44" s="51">
        <f>ROUND(IF(AQ44="2",BH44,0),2)</f>
        <v>0</v>
      </c>
      <c r="AG44" s="51">
        <f>ROUND(IF(AQ44="2",BI44,0),2)</f>
        <v>0</v>
      </c>
      <c r="AH44" s="51">
        <f>ROUND(IF(AQ44="0",BJ44,0),2)</f>
        <v>0</v>
      </c>
      <c r="AI44" s="35" t="s">
        <v>4</v>
      </c>
      <c r="AJ44" s="51">
        <f>IF(AN44=0,H44,0)</f>
        <v>0</v>
      </c>
      <c r="AK44" s="51">
        <f>IF(AN44=12,H44,0)</f>
        <v>0</v>
      </c>
      <c r="AL44" s="51">
        <f>IF(AN44=21,H44,0)</f>
        <v>0</v>
      </c>
      <c r="AN44" s="51">
        <v>12</v>
      </c>
      <c r="AO44" s="51">
        <f>G44*0.223146474</f>
        <v>0</v>
      </c>
      <c r="AP44" s="51">
        <f>G44*(1-0.223146474)</f>
        <v>0</v>
      </c>
      <c r="AQ44" s="53" t="s">
        <v>111</v>
      </c>
      <c r="AV44" s="51">
        <f>ROUND(AW44+AX44,2)</f>
        <v>0</v>
      </c>
      <c r="AW44" s="51">
        <f>ROUND(F44*AO44,2)</f>
        <v>0</v>
      </c>
      <c r="AX44" s="51">
        <f>ROUND(F44*AP44,2)</f>
        <v>0</v>
      </c>
      <c r="AY44" s="53" t="s">
        <v>158</v>
      </c>
      <c r="AZ44" s="53" t="s">
        <v>159</v>
      </c>
      <c r="BA44" s="35" t="s">
        <v>117</v>
      </c>
      <c r="BC44" s="51">
        <f>AW44+AX44</f>
        <v>0</v>
      </c>
      <c r="BD44" s="51">
        <f>G44/(100-BE44)*100</f>
        <v>0</v>
      </c>
      <c r="BE44" s="51">
        <v>0</v>
      </c>
      <c r="BF44" s="51">
        <f>44</f>
        <v>44</v>
      </c>
      <c r="BH44" s="51">
        <f>F44*AO44</f>
        <v>0</v>
      </c>
      <c r="BI44" s="51">
        <f>F44*AP44</f>
        <v>0</v>
      </c>
      <c r="BJ44" s="51">
        <f>F44*G44</f>
        <v>0</v>
      </c>
      <c r="BK44" s="53" t="s">
        <v>118</v>
      </c>
      <c r="BL44" s="51">
        <v>61</v>
      </c>
      <c r="BW44" s="51">
        <v>12</v>
      </c>
      <c r="BX44" s="3" t="s">
        <v>188</v>
      </c>
    </row>
    <row r="45" spans="1:76">
      <c r="A45" s="54"/>
      <c r="C45" s="56" t="s">
        <v>189</v>
      </c>
      <c r="D45" s="57" t="s">
        <v>190</v>
      </c>
      <c r="F45" s="58">
        <v>5</v>
      </c>
      <c r="J45" s="41"/>
    </row>
    <row r="46" spans="1:76">
      <c r="A46" s="1" t="s">
        <v>191</v>
      </c>
      <c r="B46" s="2" t="s">
        <v>192</v>
      </c>
      <c r="C46" s="75" t="s">
        <v>193</v>
      </c>
      <c r="D46" s="70"/>
      <c r="E46" s="2" t="s">
        <v>124</v>
      </c>
      <c r="F46" s="51">
        <v>74.661000000000001</v>
      </c>
      <c r="G46" s="52">
        <v>0</v>
      </c>
      <c r="H46" s="51">
        <f>ROUND(F46*G46,2)</f>
        <v>0</v>
      </c>
      <c r="J46" s="41"/>
      <c r="Z46" s="51">
        <f>ROUND(IF(AQ46="5",BJ46,0),2)</f>
        <v>0</v>
      </c>
      <c r="AB46" s="51">
        <f>ROUND(IF(AQ46="1",BH46,0),2)</f>
        <v>0</v>
      </c>
      <c r="AC46" s="51">
        <f>ROUND(IF(AQ46="1",BI46,0),2)</f>
        <v>0</v>
      </c>
      <c r="AD46" s="51">
        <f>ROUND(IF(AQ46="7",BH46,0),2)</f>
        <v>0</v>
      </c>
      <c r="AE46" s="51">
        <f>ROUND(IF(AQ46="7",BI46,0),2)</f>
        <v>0</v>
      </c>
      <c r="AF46" s="51">
        <f>ROUND(IF(AQ46="2",BH46,0),2)</f>
        <v>0</v>
      </c>
      <c r="AG46" s="51">
        <f>ROUND(IF(AQ46="2",BI46,0),2)</f>
        <v>0</v>
      </c>
      <c r="AH46" s="51">
        <f>ROUND(IF(AQ46="0",BJ46,0),2)</f>
        <v>0</v>
      </c>
      <c r="AI46" s="35" t="s">
        <v>4</v>
      </c>
      <c r="AJ46" s="51">
        <f>IF(AN46=0,H46,0)</f>
        <v>0</v>
      </c>
      <c r="AK46" s="51">
        <f>IF(AN46=12,H46,0)</f>
        <v>0</v>
      </c>
      <c r="AL46" s="51">
        <f>IF(AN46=21,H46,0)</f>
        <v>0</v>
      </c>
      <c r="AN46" s="51">
        <v>12</v>
      </c>
      <c r="AO46" s="51">
        <f>G46*0.177162968</f>
        <v>0</v>
      </c>
      <c r="AP46" s="51">
        <f>G46*(1-0.177162968)</f>
        <v>0</v>
      </c>
      <c r="AQ46" s="53" t="s">
        <v>111</v>
      </c>
      <c r="AV46" s="51">
        <f>ROUND(AW46+AX46,2)</f>
        <v>0</v>
      </c>
      <c r="AW46" s="51">
        <f>ROUND(F46*AO46,2)</f>
        <v>0</v>
      </c>
      <c r="AX46" s="51">
        <f>ROUND(F46*AP46,2)</f>
        <v>0</v>
      </c>
      <c r="AY46" s="53" t="s">
        <v>158</v>
      </c>
      <c r="AZ46" s="53" t="s">
        <v>159</v>
      </c>
      <c r="BA46" s="35" t="s">
        <v>117</v>
      </c>
      <c r="BC46" s="51">
        <f>AW46+AX46</f>
        <v>0</v>
      </c>
      <c r="BD46" s="51">
        <f>G46/(100-BE46)*100</f>
        <v>0</v>
      </c>
      <c r="BE46" s="51">
        <v>0</v>
      </c>
      <c r="BF46" s="51">
        <f>46</f>
        <v>46</v>
      </c>
      <c r="BH46" s="51">
        <f>F46*AO46</f>
        <v>0</v>
      </c>
      <c r="BI46" s="51">
        <f>F46*AP46</f>
        <v>0</v>
      </c>
      <c r="BJ46" s="51">
        <f>F46*G46</f>
        <v>0</v>
      </c>
      <c r="BK46" s="53" t="s">
        <v>118</v>
      </c>
      <c r="BL46" s="51">
        <v>61</v>
      </c>
      <c r="BW46" s="51">
        <v>12</v>
      </c>
      <c r="BX46" s="3" t="s">
        <v>193</v>
      </c>
    </row>
    <row r="47" spans="1:76">
      <c r="A47" s="54"/>
      <c r="C47" s="56" t="s">
        <v>194</v>
      </c>
      <c r="D47" s="57" t="s">
        <v>175</v>
      </c>
      <c r="F47" s="58">
        <v>7.85</v>
      </c>
      <c r="J47" s="41"/>
    </row>
    <row r="48" spans="1:76">
      <c r="A48" s="54"/>
      <c r="C48" s="56" t="s">
        <v>195</v>
      </c>
      <c r="D48" s="57" t="s">
        <v>196</v>
      </c>
      <c r="F48" s="58">
        <v>2.4169999999999998</v>
      </c>
      <c r="J48" s="41"/>
    </row>
    <row r="49" spans="1:76">
      <c r="A49" s="54"/>
      <c r="C49" s="56" t="s">
        <v>197</v>
      </c>
      <c r="D49" s="57" t="s">
        <v>179</v>
      </c>
      <c r="F49" s="58">
        <v>20.774000000000001</v>
      </c>
      <c r="J49" s="41"/>
    </row>
    <row r="50" spans="1:76">
      <c r="A50" s="54"/>
      <c r="C50" s="56" t="s">
        <v>182</v>
      </c>
      <c r="D50" s="57" t="s">
        <v>183</v>
      </c>
      <c r="F50" s="58">
        <v>43.62</v>
      </c>
      <c r="J50" s="41"/>
    </row>
    <row r="51" spans="1:76">
      <c r="A51" s="1" t="s">
        <v>198</v>
      </c>
      <c r="B51" s="2" t="s">
        <v>199</v>
      </c>
      <c r="C51" s="75" t="s">
        <v>200</v>
      </c>
      <c r="D51" s="70"/>
      <c r="E51" s="2" t="s">
        <v>124</v>
      </c>
      <c r="F51" s="51">
        <v>94.144999999999996</v>
      </c>
      <c r="G51" s="52">
        <v>0</v>
      </c>
      <c r="H51" s="51">
        <f>ROUND(F51*G51,2)</f>
        <v>0</v>
      </c>
      <c r="J51" s="41"/>
      <c r="Z51" s="51">
        <f>ROUND(IF(AQ51="5",BJ51,0),2)</f>
        <v>0</v>
      </c>
      <c r="AB51" s="51">
        <f>ROUND(IF(AQ51="1",BH51,0),2)</f>
        <v>0</v>
      </c>
      <c r="AC51" s="51">
        <f>ROUND(IF(AQ51="1",BI51,0),2)</f>
        <v>0</v>
      </c>
      <c r="AD51" s="51">
        <f>ROUND(IF(AQ51="7",BH51,0),2)</f>
        <v>0</v>
      </c>
      <c r="AE51" s="51">
        <f>ROUND(IF(AQ51="7",BI51,0),2)</f>
        <v>0</v>
      </c>
      <c r="AF51" s="51">
        <f>ROUND(IF(AQ51="2",BH51,0),2)</f>
        <v>0</v>
      </c>
      <c r="AG51" s="51">
        <f>ROUND(IF(AQ51="2",BI51,0),2)</f>
        <v>0</v>
      </c>
      <c r="AH51" s="51">
        <f>ROUND(IF(AQ51="0",BJ51,0),2)</f>
        <v>0</v>
      </c>
      <c r="AI51" s="35" t="s">
        <v>4</v>
      </c>
      <c r="AJ51" s="51">
        <f>IF(AN51=0,H51,0)</f>
        <v>0</v>
      </c>
      <c r="AK51" s="51">
        <f>IF(AN51=12,H51,0)</f>
        <v>0</v>
      </c>
      <c r="AL51" s="51">
        <f>IF(AN51=21,H51,0)</f>
        <v>0</v>
      </c>
      <c r="AN51" s="51">
        <v>12</v>
      </c>
      <c r="AO51" s="51">
        <f>G51*0.384230008</f>
        <v>0</v>
      </c>
      <c r="AP51" s="51">
        <f>G51*(1-0.384230008)</f>
        <v>0</v>
      </c>
      <c r="AQ51" s="53" t="s">
        <v>111</v>
      </c>
      <c r="AV51" s="51">
        <f>ROUND(AW51+AX51,2)</f>
        <v>0</v>
      </c>
      <c r="AW51" s="51">
        <f>ROUND(F51*AO51,2)</f>
        <v>0</v>
      </c>
      <c r="AX51" s="51">
        <f>ROUND(F51*AP51,2)</f>
        <v>0</v>
      </c>
      <c r="AY51" s="53" t="s">
        <v>158</v>
      </c>
      <c r="AZ51" s="53" t="s">
        <v>159</v>
      </c>
      <c r="BA51" s="35" t="s">
        <v>117</v>
      </c>
      <c r="BC51" s="51">
        <f>AW51+AX51</f>
        <v>0</v>
      </c>
      <c r="BD51" s="51">
        <f>G51/(100-BE51)*100</f>
        <v>0</v>
      </c>
      <c r="BE51" s="51">
        <v>0</v>
      </c>
      <c r="BF51" s="51">
        <f>51</f>
        <v>51</v>
      </c>
      <c r="BH51" s="51">
        <f>F51*AO51</f>
        <v>0</v>
      </c>
      <c r="BI51" s="51">
        <f>F51*AP51</f>
        <v>0</v>
      </c>
      <c r="BJ51" s="51">
        <f>F51*G51</f>
        <v>0</v>
      </c>
      <c r="BK51" s="53" t="s">
        <v>118</v>
      </c>
      <c r="BL51" s="51">
        <v>61</v>
      </c>
      <c r="BW51" s="51">
        <v>12</v>
      </c>
      <c r="BX51" s="3" t="s">
        <v>200</v>
      </c>
    </row>
    <row r="52" spans="1:76" ht="13.5" customHeight="1">
      <c r="A52" s="54"/>
      <c r="B52" s="55" t="s">
        <v>119</v>
      </c>
      <c r="C52" s="152" t="s">
        <v>120</v>
      </c>
      <c r="D52" s="153"/>
      <c r="E52" s="153"/>
      <c r="F52" s="153"/>
      <c r="G52" s="154"/>
      <c r="H52" s="153"/>
      <c r="I52" s="153"/>
      <c r="J52" s="155"/>
    </row>
    <row r="53" spans="1:76">
      <c r="A53" s="54"/>
      <c r="C53" s="56" t="s">
        <v>174</v>
      </c>
      <c r="D53" s="57" t="s">
        <v>175</v>
      </c>
      <c r="F53" s="58">
        <v>15.7</v>
      </c>
      <c r="J53" s="41"/>
    </row>
    <row r="54" spans="1:76">
      <c r="A54" s="54"/>
      <c r="C54" s="56" t="s">
        <v>201</v>
      </c>
      <c r="D54" s="57" t="s">
        <v>196</v>
      </c>
      <c r="F54" s="58">
        <v>4.7350000000000003</v>
      </c>
      <c r="J54" s="41"/>
    </row>
    <row r="55" spans="1:76">
      <c r="A55" s="54"/>
      <c r="C55" s="56" t="s">
        <v>178</v>
      </c>
      <c r="D55" s="57" t="s">
        <v>179</v>
      </c>
      <c r="F55" s="58">
        <v>28.17</v>
      </c>
      <c r="J55" s="41"/>
    </row>
    <row r="56" spans="1:76">
      <c r="A56" s="54"/>
      <c r="C56" s="56" t="s">
        <v>180</v>
      </c>
      <c r="D56" s="57" t="s">
        <v>4</v>
      </c>
      <c r="F56" s="58">
        <v>0.84</v>
      </c>
      <c r="J56" s="41"/>
    </row>
    <row r="57" spans="1:76">
      <c r="A57" s="54"/>
      <c r="C57" s="56" t="s">
        <v>182</v>
      </c>
      <c r="D57" s="57" t="s">
        <v>183</v>
      </c>
      <c r="F57" s="58">
        <v>43.62</v>
      </c>
      <c r="J57" s="41"/>
    </row>
    <row r="58" spans="1:76">
      <c r="A58" s="54"/>
      <c r="C58" s="56" t="s">
        <v>184</v>
      </c>
      <c r="D58" s="57" t="s">
        <v>4</v>
      </c>
      <c r="F58" s="58">
        <v>1.08</v>
      </c>
      <c r="J58" s="41"/>
    </row>
    <row r="59" spans="1:76">
      <c r="A59" s="1" t="s">
        <v>202</v>
      </c>
      <c r="B59" s="2" t="s">
        <v>203</v>
      </c>
      <c r="C59" s="75" t="s">
        <v>204</v>
      </c>
      <c r="D59" s="70"/>
      <c r="E59" s="2" t="s">
        <v>124</v>
      </c>
      <c r="F59" s="51">
        <v>7.69</v>
      </c>
      <c r="G59" s="52">
        <v>0</v>
      </c>
      <c r="H59" s="51">
        <f>ROUND(F59*G59,2)</f>
        <v>0</v>
      </c>
      <c r="J59" s="41"/>
      <c r="Z59" s="51">
        <f>ROUND(IF(AQ59="5",BJ59,0),2)</f>
        <v>0</v>
      </c>
      <c r="AB59" s="51">
        <f>ROUND(IF(AQ59="1",BH59,0),2)</f>
        <v>0</v>
      </c>
      <c r="AC59" s="51">
        <f>ROUND(IF(AQ59="1",BI59,0),2)</f>
        <v>0</v>
      </c>
      <c r="AD59" s="51">
        <f>ROUND(IF(AQ59="7",BH59,0),2)</f>
        <v>0</v>
      </c>
      <c r="AE59" s="51">
        <f>ROUND(IF(AQ59="7",BI59,0),2)</f>
        <v>0</v>
      </c>
      <c r="AF59" s="51">
        <f>ROUND(IF(AQ59="2",BH59,0),2)</f>
        <v>0</v>
      </c>
      <c r="AG59" s="51">
        <f>ROUND(IF(AQ59="2",BI59,0),2)</f>
        <v>0</v>
      </c>
      <c r="AH59" s="51">
        <f>ROUND(IF(AQ59="0",BJ59,0),2)</f>
        <v>0</v>
      </c>
      <c r="AI59" s="35" t="s">
        <v>4</v>
      </c>
      <c r="AJ59" s="51">
        <f>IF(AN59=0,H59,0)</f>
        <v>0</v>
      </c>
      <c r="AK59" s="51">
        <f>IF(AN59=12,H59,0)</f>
        <v>0</v>
      </c>
      <c r="AL59" s="51">
        <f>IF(AN59=21,H59,0)</f>
        <v>0</v>
      </c>
      <c r="AN59" s="51">
        <v>12</v>
      </c>
      <c r="AO59" s="51">
        <f>G59*0.267971168</f>
        <v>0</v>
      </c>
      <c r="AP59" s="51">
        <f>G59*(1-0.267971168)</f>
        <v>0</v>
      </c>
      <c r="AQ59" s="53" t="s">
        <v>111</v>
      </c>
      <c r="AV59" s="51">
        <f>ROUND(AW59+AX59,2)</f>
        <v>0</v>
      </c>
      <c r="AW59" s="51">
        <f>ROUND(F59*AO59,2)</f>
        <v>0</v>
      </c>
      <c r="AX59" s="51">
        <f>ROUND(F59*AP59,2)</f>
        <v>0</v>
      </c>
      <c r="AY59" s="53" t="s">
        <v>158</v>
      </c>
      <c r="AZ59" s="53" t="s">
        <v>159</v>
      </c>
      <c r="BA59" s="35" t="s">
        <v>117</v>
      </c>
      <c r="BC59" s="51">
        <f>AW59+AX59</f>
        <v>0</v>
      </c>
      <c r="BD59" s="51">
        <f>G59/(100-BE59)*100</f>
        <v>0</v>
      </c>
      <c r="BE59" s="51">
        <v>0</v>
      </c>
      <c r="BF59" s="51">
        <f>59</f>
        <v>59</v>
      </c>
      <c r="BH59" s="51">
        <f>F59*AO59</f>
        <v>0</v>
      </c>
      <c r="BI59" s="51">
        <f>F59*AP59</f>
        <v>0</v>
      </c>
      <c r="BJ59" s="51">
        <f>F59*G59</f>
        <v>0</v>
      </c>
      <c r="BK59" s="53" t="s">
        <v>118</v>
      </c>
      <c r="BL59" s="51">
        <v>61</v>
      </c>
      <c r="BW59" s="51">
        <v>12</v>
      </c>
      <c r="BX59" s="3" t="s">
        <v>204</v>
      </c>
    </row>
    <row r="60" spans="1:76">
      <c r="A60" s="54"/>
      <c r="C60" s="56" t="s">
        <v>205</v>
      </c>
      <c r="D60" s="57" t="s">
        <v>179</v>
      </c>
      <c r="F60" s="58">
        <v>3.9</v>
      </c>
      <c r="J60" s="41"/>
    </row>
    <row r="61" spans="1:76">
      <c r="A61" s="54"/>
      <c r="C61" s="56" t="s">
        <v>206</v>
      </c>
      <c r="D61" s="57" t="s">
        <v>183</v>
      </c>
      <c r="F61" s="58">
        <v>3.79</v>
      </c>
      <c r="J61" s="41"/>
    </row>
    <row r="62" spans="1:76">
      <c r="A62" s="1" t="s">
        <v>207</v>
      </c>
      <c r="B62" s="2" t="s">
        <v>208</v>
      </c>
      <c r="C62" s="75" t="s">
        <v>209</v>
      </c>
      <c r="D62" s="70"/>
      <c r="E62" s="2" t="s">
        <v>124</v>
      </c>
      <c r="F62" s="51">
        <v>19.981000000000002</v>
      </c>
      <c r="G62" s="52">
        <v>0</v>
      </c>
      <c r="H62" s="51">
        <f>ROUND(F62*G62,2)</f>
        <v>0</v>
      </c>
      <c r="J62" s="41"/>
      <c r="Z62" s="51">
        <f>ROUND(IF(AQ62="5",BJ62,0),2)</f>
        <v>0</v>
      </c>
      <c r="AB62" s="51">
        <f>ROUND(IF(AQ62="1",BH62,0),2)</f>
        <v>0</v>
      </c>
      <c r="AC62" s="51">
        <f>ROUND(IF(AQ62="1",BI62,0),2)</f>
        <v>0</v>
      </c>
      <c r="AD62" s="51">
        <f>ROUND(IF(AQ62="7",BH62,0),2)</f>
        <v>0</v>
      </c>
      <c r="AE62" s="51">
        <f>ROUND(IF(AQ62="7",BI62,0),2)</f>
        <v>0</v>
      </c>
      <c r="AF62" s="51">
        <f>ROUND(IF(AQ62="2",BH62,0),2)</f>
        <v>0</v>
      </c>
      <c r="AG62" s="51">
        <f>ROUND(IF(AQ62="2",BI62,0),2)</f>
        <v>0</v>
      </c>
      <c r="AH62" s="51">
        <f>ROUND(IF(AQ62="0",BJ62,0),2)</f>
        <v>0</v>
      </c>
      <c r="AI62" s="35" t="s">
        <v>4</v>
      </c>
      <c r="AJ62" s="51">
        <f>IF(AN62=0,H62,0)</f>
        <v>0</v>
      </c>
      <c r="AK62" s="51">
        <f>IF(AN62=12,H62,0)</f>
        <v>0</v>
      </c>
      <c r="AL62" s="51">
        <f>IF(AN62=21,H62,0)</f>
        <v>0</v>
      </c>
      <c r="AN62" s="51">
        <v>12</v>
      </c>
      <c r="AO62" s="51">
        <f>G62*0.244230492</f>
        <v>0</v>
      </c>
      <c r="AP62" s="51">
        <f>G62*(1-0.244230492)</f>
        <v>0</v>
      </c>
      <c r="AQ62" s="53" t="s">
        <v>111</v>
      </c>
      <c r="AV62" s="51">
        <f>ROUND(AW62+AX62,2)</f>
        <v>0</v>
      </c>
      <c r="AW62" s="51">
        <f>ROUND(F62*AO62,2)</f>
        <v>0</v>
      </c>
      <c r="AX62" s="51">
        <f>ROUND(F62*AP62,2)</f>
        <v>0</v>
      </c>
      <c r="AY62" s="53" t="s">
        <v>158</v>
      </c>
      <c r="AZ62" s="53" t="s">
        <v>159</v>
      </c>
      <c r="BA62" s="35" t="s">
        <v>117</v>
      </c>
      <c r="BC62" s="51">
        <f>AW62+AX62</f>
        <v>0</v>
      </c>
      <c r="BD62" s="51">
        <f>G62/(100-BE62)*100</f>
        <v>0</v>
      </c>
      <c r="BE62" s="51">
        <v>0</v>
      </c>
      <c r="BF62" s="51">
        <f>62</f>
        <v>62</v>
      </c>
      <c r="BH62" s="51">
        <f>F62*AO62</f>
        <v>0</v>
      </c>
      <c r="BI62" s="51">
        <f>F62*AP62</f>
        <v>0</v>
      </c>
      <c r="BJ62" s="51">
        <f>F62*G62</f>
        <v>0</v>
      </c>
      <c r="BK62" s="53" t="s">
        <v>118</v>
      </c>
      <c r="BL62" s="51">
        <v>61</v>
      </c>
      <c r="BW62" s="51">
        <v>12</v>
      </c>
      <c r="BX62" s="3" t="s">
        <v>209</v>
      </c>
    </row>
    <row r="63" spans="1:76" ht="13.5" customHeight="1">
      <c r="A63" s="54"/>
      <c r="B63" s="55" t="s">
        <v>119</v>
      </c>
      <c r="C63" s="152" t="s">
        <v>210</v>
      </c>
      <c r="D63" s="153"/>
      <c r="E63" s="153"/>
      <c r="F63" s="153"/>
      <c r="G63" s="154"/>
      <c r="H63" s="153"/>
      <c r="I63" s="153"/>
      <c r="J63" s="155"/>
    </row>
    <row r="64" spans="1:76">
      <c r="A64" s="54"/>
      <c r="C64" s="56" t="s">
        <v>194</v>
      </c>
      <c r="D64" s="57" t="s">
        <v>211</v>
      </c>
      <c r="F64" s="58">
        <v>7.85</v>
      </c>
      <c r="J64" s="41"/>
    </row>
    <row r="65" spans="1:76">
      <c r="A65" s="54"/>
      <c r="C65" s="56" t="s">
        <v>201</v>
      </c>
      <c r="D65" s="57" t="s">
        <v>212</v>
      </c>
      <c r="F65" s="58">
        <v>4.7350000000000003</v>
      </c>
      <c r="J65" s="41"/>
    </row>
    <row r="66" spans="1:76">
      <c r="A66" s="54"/>
      <c r="C66" s="56" t="s">
        <v>137</v>
      </c>
      <c r="D66" s="57" t="s">
        <v>179</v>
      </c>
      <c r="F66" s="58">
        <v>7.3959999999999999</v>
      </c>
      <c r="J66" s="41"/>
    </row>
    <row r="67" spans="1:76">
      <c r="A67" s="1" t="s">
        <v>213</v>
      </c>
      <c r="B67" s="2" t="s">
        <v>214</v>
      </c>
      <c r="C67" s="75" t="s">
        <v>215</v>
      </c>
      <c r="D67" s="70"/>
      <c r="E67" s="2" t="s">
        <v>114</v>
      </c>
      <c r="F67" s="51">
        <v>1</v>
      </c>
      <c r="G67" s="52">
        <v>0</v>
      </c>
      <c r="H67" s="51">
        <f>ROUND(F67*G67,2)</f>
        <v>0</v>
      </c>
      <c r="J67" s="41"/>
      <c r="Z67" s="51">
        <f>ROUND(IF(AQ67="5",BJ67,0),2)</f>
        <v>0</v>
      </c>
      <c r="AB67" s="51">
        <f>ROUND(IF(AQ67="1",BH67,0),2)</f>
        <v>0</v>
      </c>
      <c r="AC67" s="51">
        <f>ROUND(IF(AQ67="1",BI67,0),2)</f>
        <v>0</v>
      </c>
      <c r="AD67" s="51">
        <f>ROUND(IF(AQ67="7",BH67,0),2)</f>
        <v>0</v>
      </c>
      <c r="AE67" s="51">
        <f>ROUND(IF(AQ67="7",BI67,0),2)</f>
        <v>0</v>
      </c>
      <c r="AF67" s="51">
        <f>ROUND(IF(AQ67="2",BH67,0),2)</f>
        <v>0</v>
      </c>
      <c r="AG67" s="51">
        <f>ROUND(IF(AQ67="2",BI67,0),2)</f>
        <v>0</v>
      </c>
      <c r="AH67" s="51">
        <f>ROUND(IF(AQ67="0",BJ67,0),2)</f>
        <v>0</v>
      </c>
      <c r="AI67" s="35" t="s">
        <v>4</v>
      </c>
      <c r="AJ67" s="51">
        <f>IF(AN67=0,H67,0)</f>
        <v>0</v>
      </c>
      <c r="AK67" s="51">
        <f>IF(AN67=12,H67,0)</f>
        <v>0</v>
      </c>
      <c r="AL67" s="51">
        <f>IF(AN67=21,H67,0)</f>
        <v>0</v>
      </c>
      <c r="AN67" s="51">
        <v>12</v>
      </c>
      <c r="AO67" s="51">
        <f>G67*0.594408293</f>
        <v>0</v>
      </c>
      <c r="AP67" s="51">
        <f>G67*(1-0.594408293)</f>
        <v>0</v>
      </c>
      <c r="AQ67" s="53" t="s">
        <v>111</v>
      </c>
      <c r="AV67" s="51">
        <f>ROUND(AW67+AX67,2)</f>
        <v>0</v>
      </c>
      <c r="AW67" s="51">
        <f>ROUND(F67*AO67,2)</f>
        <v>0</v>
      </c>
      <c r="AX67" s="51">
        <f>ROUND(F67*AP67,2)</f>
        <v>0</v>
      </c>
      <c r="AY67" s="53" t="s">
        <v>158</v>
      </c>
      <c r="AZ67" s="53" t="s">
        <v>159</v>
      </c>
      <c r="BA67" s="35" t="s">
        <v>117</v>
      </c>
      <c r="BC67" s="51">
        <f>AW67+AX67</f>
        <v>0</v>
      </c>
      <c r="BD67" s="51">
        <f>G67/(100-BE67)*100</f>
        <v>0</v>
      </c>
      <c r="BE67" s="51">
        <v>0</v>
      </c>
      <c r="BF67" s="51">
        <f>67</f>
        <v>67</v>
      </c>
      <c r="BH67" s="51">
        <f>F67*AO67</f>
        <v>0</v>
      </c>
      <c r="BI67" s="51">
        <f>F67*AP67</f>
        <v>0</v>
      </c>
      <c r="BJ67" s="51">
        <f>F67*G67</f>
        <v>0</v>
      </c>
      <c r="BK67" s="53" t="s">
        <v>118</v>
      </c>
      <c r="BL67" s="51">
        <v>61</v>
      </c>
      <c r="BW67" s="51">
        <v>12</v>
      </c>
      <c r="BX67" s="3" t="s">
        <v>215</v>
      </c>
    </row>
    <row r="68" spans="1:76" ht="13.5" customHeight="1">
      <c r="A68" s="54"/>
      <c r="B68" s="55" t="s">
        <v>119</v>
      </c>
      <c r="C68" s="152" t="s">
        <v>216</v>
      </c>
      <c r="D68" s="153"/>
      <c r="E68" s="153"/>
      <c r="F68" s="153"/>
      <c r="G68" s="154"/>
      <c r="H68" s="153"/>
      <c r="I68" s="153"/>
      <c r="J68" s="155"/>
    </row>
    <row r="69" spans="1:76">
      <c r="A69" s="54"/>
      <c r="C69" s="56" t="s">
        <v>111</v>
      </c>
      <c r="D69" s="57" t="s">
        <v>138</v>
      </c>
      <c r="F69" s="58">
        <v>1</v>
      </c>
      <c r="J69" s="41"/>
    </row>
    <row r="70" spans="1:76">
      <c r="A70" s="47" t="s">
        <v>4</v>
      </c>
      <c r="B70" s="48" t="s">
        <v>217</v>
      </c>
      <c r="C70" s="150" t="s">
        <v>218</v>
      </c>
      <c r="D70" s="151"/>
      <c r="E70" s="49" t="s">
        <v>79</v>
      </c>
      <c r="F70" s="49" t="s">
        <v>79</v>
      </c>
      <c r="G70" s="50" t="s">
        <v>79</v>
      </c>
      <c r="H70" s="28">
        <f>SUM(H71:H76)</f>
        <v>0</v>
      </c>
      <c r="J70" s="41"/>
      <c r="AI70" s="35" t="s">
        <v>4</v>
      </c>
      <c r="AS70" s="28">
        <f>SUM(AJ71:AJ76)</f>
        <v>0</v>
      </c>
      <c r="AT70" s="28">
        <f>SUM(AK71:AK76)</f>
        <v>0</v>
      </c>
      <c r="AU70" s="28">
        <f>SUM(AL71:AL76)</f>
        <v>0</v>
      </c>
    </row>
    <row r="71" spans="1:76">
      <c r="A71" s="1" t="s">
        <v>219</v>
      </c>
      <c r="B71" s="2" t="s">
        <v>220</v>
      </c>
      <c r="C71" s="75" t="s">
        <v>221</v>
      </c>
      <c r="D71" s="70"/>
      <c r="E71" s="2" t="s">
        <v>124</v>
      </c>
      <c r="F71" s="51">
        <v>0.96</v>
      </c>
      <c r="G71" s="52">
        <v>0</v>
      </c>
      <c r="H71" s="51">
        <f>ROUND(F71*G71,2)</f>
        <v>0</v>
      </c>
      <c r="J71" s="41"/>
      <c r="Z71" s="51">
        <f>ROUND(IF(AQ71="5",BJ71,0),2)</f>
        <v>0</v>
      </c>
      <c r="AB71" s="51">
        <f>ROUND(IF(AQ71="1",BH71,0),2)</f>
        <v>0</v>
      </c>
      <c r="AC71" s="51">
        <f>ROUND(IF(AQ71="1",BI71,0),2)</f>
        <v>0</v>
      </c>
      <c r="AD71" s="51">
        <f>ROUND(IF(AQ71="7",BH71,0),2)</f>
        <v>0</v>
      </c>
      <c r="AE71" s="51">
        <f>ROUND(IF(AQ71="7",BI71,0),2)</f>
        <v>0</v>
      </c>
      <c r="AF71" s="51">
        <f>ROUND(IF(AQ71="2",BH71,0),2)</f>
        <v>0</v>
      </c>
      <c r="AG71" s="51">
        <f>ROUND(IF(AQ71="2",BI71,0),2)</f>
        <v>0</v>
      </c>
      <c r="AH71" s="51">
        <f>ROUND(IF(AQ71="0",BJ71,0),2)</f>
        <v>0</v>
      </c>
      <c r="AI71" s="35" t="s">
        <v>4</v>
      </c>
      <c r="AJ71" s="51">
        <f>IF(AN71=0,H71,0)</f>
        <v>0</v>
      </c>
      <c r="AK71" s="51">
        <f>IF(AN71=12,H71,0)</f>
        <v>0</v>
      </c>
      <c r="AL71" s="51">
        <f>IF(AN71=21,H71,0)</f>
        <v>0</v>
      </c>
      <c r="AN71" s="51">
        <v>12</v>
      </c>
      <c r="AO71" s="51">
        <f>G71*0.583444917</f>
        <v>0</v>
      </c>
      <c r="AP71" s="51">
        <f>G71*(1-0.583444917)</f>
        <v>0</v>
      </c>
      <c r="AQ71" s="53" t="s">
        <v>111</v>
      </c>
      <c r="AV71" s="51">
        <f>ROUND(AW71+AX71,2)</f>
        <v>0</v>
      </c>
      <c r="AW71" s="51">
        <f>ROUND(F71*AO71,2)</f>
        <v>0</v>
      </c>
      <c r="AX71" s="51">
        <f>ROUND(F71*AP71,2)</f>
        <v>0</v>
      </c>
      <c r="AY71" s="53" t="s">
        <v>222</v>
      </c>
      <c r="AZ71" s="53" t="s">
        <v>159</v>
      </c>
      <c r="BA71" s="35" t="s">
        <v>117</v>
      </c>
      <c r="BC71" s="51">
        <f>AW71+AX71</f>
        <v>0</v>
      </c>
      <c r="BD71" s="51">
        <f>G71/(100-BE71)*100</f>
        <v>0</v>
      </c>
      <c r="BE71" s="51">
        <v>0</v>
      </c>
      <c r="BF71" s="51">
        <f>71</f>
        <v>71</v>
      </c>
      <c r="BH71" s="51">
        <f>F71*AO71</f>
        <v>0</v>
      </c>
      <c r="BI71" s="51">
        <f>F71*AP71</f>
        <v>0</v>
      </c>
      <c r="BJ71" s="51">
        <f>F71*G71</f>
        <v>0</v>
      </c>
      <c r="BK71" s="53" t="s">
        <v>118</v>
      </c>
      <c r="BL71" s="51">
        <v>63</v>
      </c>
      <c r="BW71" s="51">
        <v>12</v>
      </c>
      <c r="BX71" s="3" t="s">
        <v>221</v>
      </c>
    </row>
    <row r="72" spans="1:76">
      <c r="A72" s="54"/>
      <c r="C72" s="56" t="s">
        <v>223</v>
      </c>
      <c r="D72" s="57" t="s">
        <v>224</v>
      </c>
      <c r="F72" s="58">
        <v>0.96</v>
      </c>
      <c r="J72" s="41"/>
    </row>
    <row r="73" spans="1:76">
      <c r="A73" s="1" t="s">
        <v>225</v>
      </c>
      <c r="B73" s="2" t="s">
        <v>226</v>
      </c>
      <c r="C73" s="75" t="s">
        <v>227</v>
      </c>
      <c r="D73" s="70"/>
      <c r="E73" s="2" t="s">
        <v>124</v>
      </c>
      <c r="F73" s="51">
        <v>40.43</v>
      </c>
      <c r="G73" s="52">
        <v>0</v>
      </c>
      <c r="H73" s="51">
        <f>ROUND(F73*G73,2)</f>
        <v>0</v>
      </c>
      <c r="J73" s="41"/>
      <c r="Z73" s="51">
        <f>ROUND(IF(AQ73="5",BJ73,0),2)</f>
        <v>0</v>
      </c>
      <c r="AB73" s="51">
        <f>ROUND(IF(AQ73="1",BH73,0),2)</f>
        <v>0</v>
      </c>
      <c r="AC73" s="51">
        <f>ROUND(IF(AQ73="1",BI73,0),2)</f>
        <v>0</v>
      </c>
      <c r="AD73" s="51">
        <f>ROUND(IF(AQ73="7",BH73,0),2)</f>
        <v>0</v>
      </c>
      <c r="AE73" s="51">
        <f>ROUND(IF(AQ73="7",BI73,0),2)</f>
        <v>0</v>
      </c>
      <c r="AF73" s="51">
        <f>ROUND(IF(AQ73="2",BH73,0),2)</f>
        <v>0</v>
      </c>
      <c r="AG73" s="51">
        <f>ROUND(IF(AQ73="2",BI73,0),2)</f>
        <v>0</v>
      </c>
      <c r="AH73" s="51">
        <f>ROUND(IF(AQ73="0",BJ73,0),2)</f>
        <v>0</v>
      </c>
      <c r="AI73" s="35" t="s">
        <v>4</v>
      </c>
      <c r="AJ73" s="51">
        <f>IF(AN73=0,H73,0)</f>
        <v>0</v>
      </c>
      <c r="AK73" s="51">
        <f>IF(AN73=12,H73,0)</f>
        <v>0</v>
      </c>
      <c r="AL73" s="51">
        <f>IF(AN73=21,H73,0)</f>
        <v>0</v>
      </c>
      <c r="AN73" s="51">
        <v>12</v>
      </c>
      <c r="AO73" s="51">
        <f>G73*0.74825866</f>
        <v>0</v>
      </c>
      <c r="AP73" s="51">
        <f>G73*(1-0.74825866)</f>
        <v>0</v>
      </c>
      <c r="AQ73" s="53" t="s">
        <v>111</v>
      </c>
      <c r="AV73" s="51">
        <f>ROUND(AW73+AX73,2)</f>
        <v>0</v>
      </c>
      <c r="AW73" s="51">
        <f>ROUND(F73*AO73,2)</f>
        <v>0</v>
      </c>
      <c r="AX73" s="51">
        <f>ROUND(F73*AP73,2)</f>
        <v>0</v>
      </c>
      <c r="AY73" s="53" t="s">
        <v>222</v>
      </c>
      <c r="AZ73" s="53" t="s">
        <v>159</v>
      </c>
      <c r="BA73" s="35" t="s">
        <v>117</v>
      </c>
      <c r="BC73" s="51">
        <f>AW73+AX73</f>
        <v>0</v>
      </c>
      <c r="BD73" s="51">
        <f>G73/(100-BE73)*100</f>
        <v>0</v>
      </c>
      <c r="BE73" s="51">
        <v>0</v>
      </c>
      <c r="BF73" s="51">
        <f>73</f>
        <v>73</v>
      </c>
      <c r="BH73" s="51">
        <f>F73*AO73</f>
        <v>0</v>
      </c>
      <c r="BI73" s="51">
        <f>F73*AP73</f>
        <v>0</v>
      </c>
      <c r="BJ73" s="51">
        <f>F73*G73</f>
        <v>0</v>
      </c>
      <c r="BK73" s="53" t="s">
        <v>118</v>
      </c>
      <c r="BL73" s="51">
        <v>63</v>
      </c>
      <c r="BW73" s="51">
        <v>12</v>
      </c>
      <c r="BX73" s="3" t="s">
        <v>227</v>
      </c>
    </row>
    <row r="74" spans="1:76" ht="13.5" customHeight="1">
      <c r="A74" s="54"/>
      <c r="B74" s="55" t="s">
        <v>119</v>
      </c>
      <c r="C74" s="152" t="s">
        <v>228</v>
      </c>
      <c r="D74" s="153"/>
      <c r="E74" s="153"/>
      <c r="F74" s="153"/>
      <c r="G74" s="154"/>
      <c r="H74" s="153"/>
      <c r="I74" s="153"/>
      <c r="J74" s="155"/>
    </row>
    <row r="75" spans="1:76">
      <c r="A75" s="54"/>
      <c r="C75" s="56" t="s">
        <v>167</v>
      </c>
      <c r="D75" s="57" t="s">
        <v>229</v>
      </c>
      <c r="F75" s="58">
        <v>40.43</v>
      </c>
      <c r="J75" s="41"/>
    </row>
    <row r="76" spans="1:76">
      <c r="A76" s="1" t="s">
        <v>230</v>
      </c>
      <c r="B76" s="2" t="s">
        <v>231</v>
      </c>
      <c r="C76" s="75" t="s">
        <v>232</v>
      </c>
      <c r="D76" s="70"/>
      <c r="E76" s="2" t="s">
        <v>124</v>
      </c>
      <c r="F76" s="51">
        <v>40.43</v>
      </c>
      <c r="G76" s="52">
        <v>0</v>
      </c>
      <c r="H76" s="51">
        <f>ROUND(F76*G76,2)</f>
        <v>0</v>
      </c>
      <c r="J76" s="41"/>
      <c r="Z76" s="51">
        <f>ROUND(IF(AQ76="5",BJ76,0),2)</f>
        <v>0</v>
      </c>
      <c r="AB76" s="51">
        <f>ROUND(IF(AQ76="1",BH76,0),2)</f>
        <v>0</v>
      </c>
      <c r="AC76" s="51">
        <f>ROUND(IF(AQ76="1",BI76,0),2)</f>
        <v>0</v>
      </c>
      <c r="AD76" s="51">
        <f>ROUND(IF(AQ76="7",BH76,0),2)</f>
        <v>0</v>
      </c>
      <c r="AE76" s="51">
        <f>ROUND(IF(AQ76="7",BI76,0),2)</f>
        <v>0</v>
      </c>
      <c r="AF76" s="51">
        <f>ROUND(IF(AQ76="2",BH76,0),2)</f>
        <v>0</v>
      </c>
      <c r="AG76" s="51">
        <f>ROUND(IF(AQ76="2",BI76,0),2)</f>
        <v>0</v>
      </c>
      <c r="AH76" s="51">
        <f>ROUND(IF(AQ76="0",BJ76,0),2)</f>
        <v>0</v>
      </c>
      <c r="AI76" s="35" t="s">
        <v>4</v>
      </c>
      <c r="AJ76" s="51">
        <f>IF(AN76=0,H76,0)</f>
        <v>0</v>
      </c>
      <c r="AK76" s="51">
        <f>IF(AN76=12,H76,0)</f>
        <v>0</v>
      </c>
      <c r="AL76" s="51">
        <f>IF(AN76=21,H76,0)</f>
        <v>0</v>
      </c>
      <c r="AN76" s="51">
        <v>12</v>
      </c>
      <c r="AO76" s="51">
        <f>G76*0.486723523</f>
        <v>0</v>
      </c>
      <c r="AP76" s="51">
        <f>G76*(1-0.486723523)</f>
        <v>0</v>
      </c>
      <c r="AQ76" s="53" t="s">
        <v>111</v>
      </c>
      <c r="AV76" s="51">
        <f>ROUND(AW76+AX76,2)</f>
        <v>0</v>
      </c>
      <c r="AW76" s="51">
        <f>ROUND(F76*AO76,2)</f>
        <v>0</v>
      </c>
      <c r="AX76" s="51">
        <f>ROUND(F76*AP76,2)</f>
        <v>0</v>
      </c>
      <c r="AY76" s="53" t="s">
        <v>222</v>
      </c>
      <c r="AZ76" s="53" t="s">
        <v>159</v>
      </c>
      <c r="BA76" s="35" t="s">
        <v>117</v>
      </c>
      <c r="BC76" s="51">
        <f>AW76+AX76</f>
        <v>0</v>
      </c>
      <c r="BD76" s="51">
        <f>G76/(100-BE76)*100</f>
        <v>0</v>
      </c>
      <c r="BE76" s="51">
        <v>0</v>
      </c>
      <c r="BF76" s="51">
        <f>76</f>
        <v>76</v>
      </c>
      <c r="BH76" s="51">
        <f>F76*AO76</f>
        <v>0</v>
      </c>
      <c r="BI76" s="51">
        <f>F76*AP76</f>
        <v>0</v>
      </c>
      <c r="BJ76" s="51">
        <f>F76*G76</f>
        <v>0</v>
      </c>
      <c r="BK76" s="53" t="s">
        <v>118</v>
      </c>
      <c r="BL76" s="51">
        <v>63</v>
      </c>
      <c r="BW76" s="51">
        <v>12</v>
      </c>
      <c r="BX76" s="3" t="s">
        <v>232</v>
      </c>
    </row>
    <row r="77" spans="1:76">
      <c r="A77" s="47" t="s">
        <v>4</v>
      </c>
      <c r="B77" s="48" t="s">
        <v>233</v>
      </c>
      <c r="C77" s="150" t="s">
        <v>234</v>
      </c>
      <c r="D77" s="151"/>
      <c r="E77" s="49" t="s">
        <v>79</v>
      </c>
      <c r="F77" s="49" t="s">
        <v>79</v>
      </c>
      <c r="G77" s="50" t="s">
        <v>79</v>
      </c>
      <c r="H77" s="28">
        <f>SUM(H78:H85)</f>
        <v>0</v>
      </c>
      <c r="J77" s="41"/>
      <c r="AI77" s="35" t="s">
        <v>4</v>
      </c>
      <c r="AS77" s="28">
        <f>SUM(AJ78:AJ85)</f>
        <v>0</v>
      </c>
      <c r="AT77" s="28">
        <f>SUM(AK78:AK85)</f>
        <v>0</v>
      </c>
      <c r="AU77" s="28">
        <f>SUM(AL78:AL85)</f>
        <v>0</v>
      </c>
    </row>
    <row r="78" spans="1:76">
      <c r="A78" s="1" t="s">
        <v>235</v>
      </c>
      <c r="B78" s="2" t="s">
        <v>236</v>
      </c>
      <c r="C78" s="75" t="s">
        <v>237</v>
      </c>
      <c r="D78" s="70"/>
      <c r="E78" s="2" t="s">
        <v>238</v>
      </c>
      <c r="F78" s="51">
        <v>10</v>
      </c>
      <c r="G78" s="52">
        <v>0</v>
      </c>
      <c r="H78" s="51">
        <f>ROUND(F78*G78,2)</f>
        <v>0</v>
      </c>
      <c r="J78" s="41"/>
      <c r="Z78" s="51">
        <f>ROUND(IF(AQ78="5",BJ78,0),2)</f>
        <v>0</v>
      </c>
      <c r="AB78" s="51">
        <f>ROUND(IF(AQ78="1",BH78,0),2)</f>
        <v>0</v>
      </c>
      <c r="AC78" s="51">
        <f>ROUND(IF(AQ78="1",BI78,0),2)</f>
        <v>0</v>
      </c>
      <c r="AD78" s="51">
        <f>ROUND(IF(AQ78="7",BH78,0),2)</f>
        <v>0</v>
      </c>
      <c r="AE78" s="51">
        <f>ROUND(IF(AQ78="7",BI78,0),2)</f>
        <v>0</v>
      </c>
      <c r="AF78" s="51">
        <f>ROUND(IF(AQ78="2",BH78,0),2)</f>
        <v>0</v>
      </c>
      <c r="AG78" s="51">
        <f>ROUND(IF(AQ78="2",BI78,0),2)</f>
        <v>0</v>
      </c>
      <c r="AH78" s="51">
        <f>ROUND(IF(AQ78="0",BJ78,0),2)</f>
        <v>0</v>
      </c>
      <c r="AI78" s="35" t="s">
        <v>4</v>
      </c>
      <c r="AJ78" s="51">
        <f>IF(AN78=0,H78,0)</f>
        <v>0</v>
      </c>
      <c r="AK78" s="51">
        <f>IF(AN78=12,H78,0)</f>
        <v>0</v>
      </c>
      <c r="AL78" s="51">
        <f>IF(AN78=21,H78,0)</f>
        <v>0</v>
      </c>
      <c r="AN78" s="51">
        <v>12</v>
      </c>
      <c r="AO78" s="51">
        <f>G78*0</f>
        <v>0</v>
      </c>
      <c r="AP78" s="51">
        <f>G78*(1-0)</f>
        <v>0</v>
      </c>
      <c r="AQ78" s="53" t="s">
        <v>111</v>
      </c>
      <c r="AV78" s="51">
        <f>ROUND(AW78+AX78,2)</f>
        <v>0</v>
      </c>
      <c r="AW78" s="51">
        <f>ROUND(F78*AO78,2)</f>
        <v>0</v>
      </c>
      <c r="AX78" s="51">
        <f>ROUND(F78*AP78,2)</f>
        <v>0</v>
      </c>
      <c r="AY78" s="53" t="s">
        <v>239</v>
      </c>
      <c r="AZ78" s="53" t="s">
        <v>240</v>
      </c>
      <c r="BA78" s="35" t="s">
        <v>117</v>
      </c>
      <c r="BC78" s="51">
        <f>AW78+AX78</f>
        <v>0</v>
      </c>
      <c r="BD78" s="51">
        <f>G78/(100-BE78)*100</f>
        <v>0</v>
      </c>
      <c r="BE78" s="51">
        <v>0</v>
      </c>
      <c r="BF78" s="51">
        <f>78</f>
        <v>78</v>
      </c>
      <c r="BH78" s="51">
        <f>F78*AO78</f>
        <v>0</v>
      </c>
      <c r="BI78" s="51">
        <f>F78*AP78</f>
        <v>0</v>
      </c>
      <c r="BJ78" s="51">
        <f>F78*G78</f>
        <v>0</v>
      </c>
      <c r="BK78" s="53" t="s">
        <v>118</v>
      </c>
      <c r="BL78" s="51">
        <v>95</v>
      </c>
      <c r="BW78" s="51">
        <v>12</v>
      </c>
      <c r="BX78" s="3" t="s">
        <v>237</v>
      </c>
    </row>
    <row r="79" spans="1:76" ht="13.5" customHeight="1">
      <c r="A79" s="54"/>
      <c r="B79" s="55" t="s">
        <v>119</v>
      </c>
      <c r="C79" s="152" t="s">
        <v>241</v>
      </c>
      <c r="D79" s="153"/>
      <c r="E79" s="153"/>
      <c r="F79" s="153"/>
      <c r="G79" s="154"/>
      <c r="H79" s="153"/>
      <c r="I79" s="153"/>
      <c r="J79" s="155"/>
    </row>
    <row r="80" spans="1:76">
      <c r="A80" s="1" t="s">
        <v>242</v>
      </c>
      <c r="B80" s="2" t="s">
        <v>243</v>
      </c>
      <c r="C80" s="75" t="s">
        <v>244</v>
      </c>
      <c r="D80" s="70"/>
      <c r="E80" s="2" t="s">
        <v>124</v>
      </c>
      <c r="F80" s="51">
        <v>41</v>
      </c>
      <c r="G80" s="52">
        <v>0</v>
      </c>
      <c r="H80" s="51">
        <f>ROUND(F80*G80,2)</f>
        <v>0</v>
      </c>
      <c r="J80" s="41"/>
      <c r="Z80" s="51">
        <f>ROUND(IF(AQ80="5",BJ80,0),2)</f>
        <v>0</v>
      </c>
      <c r="AB80" s="51">
        <f>ROUND(IF(AQ80="1",BH80,0),2)</f>
        <v>0</v>
      </c>
      <c r="AC80" s="51">
        <f>ROUND(IF(AQ80="1",BI80,0),2)</f>
        <v>0</v>
      </c>
      <c r="AD80" s="51">
        <f>ROUND(IF(AQ80="7",BH80,0),2)</f>
        <v>0</v>
      </c>
      <c r="AE80" s="51">
        <f>ROUND(IF(AQ80="7",BI80,0),2)</f>
        <v>0</v>
      </c>
      <c r="AF80" s="51">
        <f>ROUND(IF(AQ80="2",BH80,0),2)</f>
        <v>0</v>
      </c>
      <c r="AG80" s="51">
        <f>ROUND(IF(AQ80="2",BI80,0),2)</f>
        <v>0</v>
      </c>
      <c r="AH80" s="51">
        <f>ROUND(IF(AQ80="0",BJ80,0),2)</f>
        <v>0</v>
      </c>
      <c r="AI80" s="35" t="s">
        <v>4</v>
      </c>
      <c r="AJ80" s="51">
        <f>IF(AN80=0,H80,0)</f>
        <v>0</v>
      </c>
      <c r="AK80" s="51">
        <f>IF(AN80=12,H80,0)</f>
        <v>0</v>
      </c>
      <c r="AL80" s="51">
        <f>IF(AN80=21,H80,0)</f>
        <v>0</v>
      </c>
      <c r="AN80" s="51">
        <v>12</v>
      </c>
      <c r="AO80" s="51">
        <f>G80*0.012649573</f>
        <v>0</v>
      </c>
      <c r="AP80" s="51">
        <f>G80*(1-0.012649573)</f>
        <v>0</v>
      </c>
      <c r="AQ80" s="53" t="s">
        <v>111</v>
      </c>
      <c r="AV80" s="51">
        <f>ROUND(AW80+AX80,2)</f>
        <v>0</v>
      </c>
      <c r="AW80" s="51">
        <f>ROUND(F80*AO80,2)</f>
        <v>0</v>
      </c>
      <c r="AX80" s="51">
        <f>ROUND(F80*AP80,2)</f>
        <v>0</v>
      </c>
      <c r="AY80" s="53" t="s">
        <v>239</v>
      </c>
      <c r="AZ80" s="53" t="s">
        <v>240</v>
      </c>
      <c r="BA80" s="35" t="s">
        <v>117</v>
      </c>
      <c r="BC80" s="51">
        <f>AW80+AX80</f>
        <v>0</v>
      </c>
      <c r="BD80" s="51">
        <f>G80/(100-BE80)*100</f>
        <v>0</v>
      </c>
      <c r="BE80" s="51">
        <v>0</v>
      </c>
      <c r="BF80" s="51">
        <f>80</f>
        <v>80</v>
      </c>
      <c r="BH80" s="51">
        <f>F80*AO80</f>
        <v>0</v>
      </c>
      <c r="BI80" s="51">
        <f>F80*AP80</f>
        <v>0</v>
      </c>
      <c r="BJ80" s="51">
        <f>F80*G80</f>
        <v>0</v>
      </c>
      <c r="BK80" s="53" t="s">
        <v>118</v>
      </c>
      <c r="BL80" s="51">
        <v>95</v>
      </c>
      <c r="BW80" s="51">
        <v>12</v>
      </c>
      <c r="BX80" s="3" t="s">
        <v>244</v>
      </c>
    </row>
    <row r="81" spans="1:76">
      <c r="A81" s="1" t="s">
        <v>245</v>
      </c>
      <c r="B81" s="2" t="s">
        <v>246</v>
      </c>
      <c r="C81" s="75" t="s">
        <v>247</v>
      </c>
      <c r="D81" s="70"/>
      <c r="E81" s="2" t="s">
        <v>114</v>
      </c>
      <c r="F81" s="51">
        <v>1</v>
      </c>
      <c r="G81" s="52">
        <v>0</v>
      </c>
      <c r="H81" s="51">
        <f>ROUND(F81*G81,2)</f>
        <v>0</v>
      </c>
      <c r="J81" s="41"/>
      <c r="Z81" s="51">
        <f>ROUND(IF(AQ81="5",BJ81,0),2)</f>
        <v>0</v>
      </c>
      <c r="AB81" s="51">
        <f>ROUND(IF(AQ81="1",BH81,0),2)</f>
        <v>0</v>
      </c>
      <c r="AC81" s="51">
        <f>ROUND(IF(AQ81="1",BI81,0),2)</f>
        <v>0</v>
      </c>
      <c r="AD81" s="51">
        <f>ROUND(IF(AQ81="7",BH81,0),2)</f>
        <v>0</v>
      </c>
      <c r="AE81" s="51">
        <f>ROUND(IF(AQ81="7",BI81,0),2)</f>
        <v>0</v>
      </c>
      <c r="AF81" s="51">
        <f>ROUND(IF(AQ81="2",BH81,0),2)</f>
        <v>0</v>
      </c>
      <c r="AG81" s="51">
        <f>ROUND(IF(AQ81="2",BI81,0),2)</f>
        <v>0</v>
      </c>
      <c r="AH81" s="51">
        <f>ROUND(IF(AQ81="0",BJ81,0),2)</f>
        <v>0</v>
      </c>
      <c r="AI81" s="35" t="s">
        <v>4</v>
      </c>
      <c r="AJ81" s="51">
        <f>IF(AN81=0,H81,0)</f>
        <v>0</v>
      </c>
      <c r="AK81" s="51">
        <f>IF(AN81=12,H81,0)</f>
        <v>0</v>
      </c>
      <c r="AL81" s="51">
        <f>IF(AN81=21,H81,0)</f>
        <v>0</v>
      </c>
      <c r="AN81" s="51">
        <v>12</v>
      </c>
      <c r="AO81" s="51">
        <f>G81*0.077704082</f>
        <v>0</v>
      </c>
      <c r="AP81" s="51">
        <f>G81*(1-0.077704082)</f>
        <v>0</v>
      </c>
      <c r="AQ81" s="53" t="s">
        <v>111</v>
      </c>
      <c r="AV81" s="51">
        <f>ROUND(AW81+AX81,2)</f>
        <v>0</v>
      </c>
      <c r="AW81" s="51">
        <f>ROUND(F81*AO81,2)</f>
        <v>0</v>
      </c>
      <c r="AX81" s="51">
        <f>ROUND(F81*AP81,2)</f>
        <v>0</v>
      </c>
      <c r="AY81" s="53" t="s">
        <v>239</v>
      </c>
      <c r="AZ81" s="53" t="s">
        <v>240</v>
      </c>
      <c r="BA81" s="35" t="s">
        <v>117</v>
      </c>
      <c r="BC81" s="51">
        <f>AW81+AX81</f>
        <v>0</v>
      </c>
      <c r="BD81" s="51">
        <f>G81/(100-BE81)*100</f>
        <v>0</v>
      </c>
      <c r="BE81" s="51">
        <v>0</v>
      </c>
      <c r="BF81" s="51">
        <f>81</f>
        <v>81</v>
      </c>
      <c r="BH81" s="51">
        <f>F81*AO81</f>
        <v>0</v>
      </c>
      <c r="BI81" s="51">
        <f>F81*AP81</f>
        <v>0</v>
      </c>
      <c r="BJ81" s="51">
        <f>F81*G81</f>
        <v>0</v>
      </c>
      <c r="BK81" s="53" t="s">
        <v>118</v>
      </c>
      <c r="BL81" s="51">
        <v>95</v>
      </c>
      <c r="BW81" s="51">
        <v>12</v>
      </c>
      <c r="BX81" s="3" t="s">
        <v>247</v>
      </c>
    </row>
    <row r="82" spans="1:76">
      <c r="A82" s="54"/>
      <c r="C82" s="56" t="s">
        <v>111</v>
      </c>
      <c r="D82" s="57" t="s">
        <v>248</v>
      </c>
      <c r="F82" s="58">
        <v>1</v>
      </c>
      <c r="J82" s="41"/>
    </row>
    <row r="83" spans="1:76">
      <c r="A83" s="1" t="s">
        <v>249</v>
      </c>
      <c r="B83" s="2" t="s">
        <v>250</v>
      </c>
      <c r="C83" s="75" t="s">
        <v>251</v>
      </c>
      <c r="D83" s="70"/>
      <c r="E83" s="2" t="s">
        <v>252</v>
      </c>
      <c r="F83" s="51">
        <v>5</v>
      </c>
      <c r="G83" s="52">
        <v>0</v>
      </c>
      <c r="H83" s="51">
        <f>ROUND(F83*G83,2)</f>
        <v>0</v>
      </c>
      <c r="J83" s="41"/>
      <c r="Z83" s="51">
        <f>ROUND(IF(AQ83="5",BJ83,0),2)</f>
        <v>0</v>
      </c>
      <c r="AB83" s="51">
        <f>ROUND(IF(AQ83="1",BH83,0),2)</f>
        <v>0</v>
      </c>
      <c r="AC83" s="51">
        <f>ROUND(IF(AQ83="1",BI83,0),2)</f>
        <v>0</v>
      </c>
      <c r="AD83" s="51">
        <f>ROUND(IF(AQ83="7",BH83,0),2)</f>
        <v>0</v>
      </c>
      <c r="AE83" s="51">
        <f>ROUND(IF(AQ83="7",BI83,0),2)</f>
        <v>0</v>
      </c>
      <c r="AF83" s="51">
        <f>ROUND(IF(AQ83="2",BH83,0),2)</f>
        <v>0</v>
      </c>
      <c r="AG83" s="51">
        <f>ROUND(IF(AQ83="2",BI83,0),2)</f>
        <v>0</v>
      </c>
      <c r="AH83" s="51">
        <f>ROUND(IF(AQ83="0",BJ83,0),2)</f>
        <v>0</v>
      </c>
      <c r="AI83" s="35" t="s">
        <v>4</v>
      </c>
      <c r="AJ83" s="51">
        <f>IF(AN83=0,H83,0)</f>
        <v>0</v>
      </c>
      <c r="AK83" s="51">
        <f>IF(AN83=12,H83,0)</f>
        <v>0</v>
      </c>
      <c r="AL83" s="51">
        <f>IF(AN83=21,H83,0)</f>
        <v>0</v>
      </c>
      <c r="AN83" s="51">
        <v>12</v>
      </c>
      <c r="AO83" s="51">
        <f>G83*0</f>
        <v>0</v>
      </c>
      <c r="AP83" s="51">
        <f>G83*(1-0)</f>
        <v>0</v>
      </c>
      <c r="AQ83" s="53" t="s">
        <v>111</v>
      </c>
      <c r="AV83" s="51">
        <f>ROUND(AW83+AX83,2)</f>
        <v>0</v>
      </c>
      <c r="AW83" s="51">
        <f>ROUND(F83*AO83,2)</f>
        <v>0</v>
      </c>
      <c r="AX83" s="51">
        <f>ROUND(F83*AP83,2)</f>
        <v>0</v>
      </c>
      <c r="AY83" s="53" t="s">
        <v>239</v>
      </c>
      <c r="AZ83" s="53" t="s">
        <v>240</v>
      </c>
      <c r="BA83" s="35" t="s">
        <v>117</v>
      </c>
      <c r="BC83" s="51">
        <f>AW83+AX83</f>
        <v>0</v>
      </c>
      <c r="BD83" s="51">
        <f>G83/(100-BE83)*100</f>
        <v>0</v>
      </c>
      <c r="BE83" s="51">
        <v>0</v>
      </c>
      <c r="BF83" s="51">
        <f>83</f>
        <v>83</v>
      </c>
      <c r="BH83" s="51">
        <f>F83*AO83</f>
        <v>0</v>
      </c>
      <c r="BI83" s="51">
        <f>F83*AP83</f>
        <v>0</v>
      </c>
      <c r="BJ83" s="51">
        <f>F83*G83</f>
        <v>0</v>
      </c>
      <c r="BK83" s="53" t="s">
        <v>118</v>
      </c>
      <c r="BL83" s="51">
        <v>95</v>
      </c>
      <c r="BW83" s="51">
        <v>12</v>
      </c>
      <c r="BX83" s="3" t="s">
        <v>251</v>
      </c>
    </row>
    <row r="84" spans="1:76">
      <c r="A84" s="54"/>
      <c r="C84" s="56" t="s">
        <v>139</v>
      </c>
      <c r="D84" s="57" t="s">
        <v>253</v>
      </c>
      <c r="F84" s="58">
        <v>5</v>
      </c>
      <c r="J84" s="41"/>
    </row>
    <row r="85" spans="1:76" ht="25.5">
      <c r="A85" s="1" t="s">
        <v>254</v>
      </c>
      <c r="B85" s="2" t="s">
        <v>255</v>
      </c>
      <c r="C85" s="75" t="s">
        <v>256</v>
      </c>
      <c r="D85" s="70"/>
      <c r="E85" s="2" t="s">
        <v>114</v>
      </c>
      <c r="F85" s="51">
        <v>1</v>
      </c>
      <c r="G85" s="52">
        <v>0</v>
      </c>
      <c r="H85" s="51">
        <f>ROUND(F85*G85,2)</f>
        <v>0</v>
      </c>
      <c r="J85" s="41"/>
      <c r="Z85" s="51">
        <f>ROUND(IF(AQ85="5",BJ85,0),2)</f>
        <v>0</v>
      </c>
      <c r="AB85" s="51">
        <f>ROUND(IF(AQ85="1",BH85,0),2)</f>
        <v>0</v>
      </c>
      <c r="AC85" s="51">
        <f>ROUND(IF(AQ85="1",BI85,0),2)</f>
        <v>0</v>
      </c>
      <c r="AD85" s="51">
        <f>ROUND(IF(AQ85="7",BH85,0),2)</f>
        <v>0</v>
      </c>
      <c r="AE85" s="51">
        <f>ROUND(IF(AQ85="7",BI85,0),2)</f>
        <v>0</v>
      </c>
      <c r="AF85" s="51">
        <f>ROUND(IF(AQ85="2",BH85,0),2)</f>
        <v>0</v>
      </c>
      <c r="AG85" s="51">
        <f>ROUND(IF(AQ85="2",BI85,0),2)</f>
        <v>0</v>
      </c>
      <c r="AH85" s="51">
        <f>ROUND(IF(AQ85="0",BJ85,0),2)</f>
        <v>0</v>
      </c>
      <c r="AI85" s="35" t="s">
        <v>4</v>
      </c>
      <c r="AJ85" s="51">
        <f>IF(AN85=0,H85,0)</f>
        <v>0</v>
      </c>
      <c r="AK85" s="51">
        <f>IF(AN85=12,H85,0)</f>
        <v>0</v>
      </c>
      <c r="AL85" s="51">
        <f>IF(AN85=21,H85,0)</f>
        <v>0</v>
      </c>
      <c r="AN85" s="51">
        <v>12</v>
      </c>
      <c r="AO85" s="51">
        <f>G85*1</f>
        <v>0</v>
      </c>
      <c r="AP85" s="51">
        <f>G85*(1-1)</f>
        <v>0</v>
      </c>
      <c r="AQ85" s="53" t="s">
        <v>111</v>
      </c>
      <c r="AV85" s="51">
        <f>ROUND(AW85+AX85,2)</f>
        <v>0</v>
      </c>
      <c r="AW85" s="51">
        <f>ROUND(F85*AO85,2)</f>
        <v>0</v>
      </c>
      <c r="AX85" s="51">
        <f>ROUND(F85*AP85,2)</f>
        <v>0</v>
      </c>
      <c r="AY85" s="53" t="s">
        <v>239</v>
      </c>
      <c r="AZ85" s="53" t="s">
        <v>240</v>
      </c>
      <c r="BA85" s="35" t="s">
        <v>117</v>
      </c>
      <c r="BC85" s="51">
        <f>AW85+AX85</f>
        <v>0</v>
      </c>
      <c r="BD85" s="51">
        <f>G85/(100-BE85)*100</f>
        <v>0</v>
      </c>
      <c r="BE85" s="51">
        <v>0</v>
      </c>
      <c r="BF85" s="51">
        <f>85</f>
        <v>85</v>
      </c>
      <c r="BH85" s="51">
        <f>F85*AO85</f>
        <v>0</v>
      </c>
      <c r="BI85" s="51">
        <f>F85*AP85</f>
        <v>0</v>
      </c>
      <c r="BJ85" s="51">
        <f>F85*G85</f>
        <v>0</v>
      </c>
      <c r="BK85" s="53" t="s">
        <v>257</v>
      </c>
      <c r="BL85" s="51">
        <v>95</v>
      </c>
      <c r="BW85" s="51">
        <v>12</v>
      </c>
      <c r="BX85" s="3" t="s">
        <v>256</v>
      </c>
    </row>
    <row r="86" spans="1:76">
      <c r="A86" s="47" t="s">
        <v>4</v>
      </c>
      <c r="B86" s="48" t="s">
        <v>258</v>
      </c>
      <c r="C86" s="150" t="s">
        <v>259</v>
      </c>
      <c r="D86" s="151"/>
      <c r="E86" s="49" t="s">
        <v>79</v>
      </c>
      <c r="F86" s="49" t="s">
        <v>79</v>
      </c>
      <c r="G86" s="50" t="s">
        <v>79</v>
      </c>
      <c r="H86" s="28">
        <f>SUM(H87:H105)</f>
        <v>0</v>
      </c>
      <c r="J86" s="41"/>
      <c r="AI86" s="35" t="s">
        <v>4</v>
      </c>
      <c r="AS86" s="28">
        <f>SUM(AJ87:AJ105)</f>
        <v>0</v>
      </c>
      <c r="AT86" s="28">
        <f>SUM(AK87:AK105)</f>
        <v>0</v>
      </c>
      <c r="AU86" s="28">
        <f>SUM(AL87:AL105)</f>
        <v>0</v>
      </c>
    </row>
    <row r="87" spans="1:76">
      <c r="A87" s="1" t="s">
        <v>260</v>
      </c>
      <c r="B87" s="2" t="s">
        <v>261</v>
      </c>
      <c r="C87" s="75" t="s">
        <v>262</v>
      </c>
      <c r="D87" s="70"/>
      <c r="E87" s="2" t="s">
        <v>114</v>
      </c>
      <c r="F87" s="51">
        <v>3</v>
      </c>
      <c r="G87" s="52">
        <v>0</v>
      </c>
      <c r="H87" s="51">
        <f>ROUND(F87*G87,2)</f>
        <v>0</v>
      </c>
      <c r="J87" s="41"/>
      <c r="Z87" s="51">
        <f>ROUND(IF(AQ87="5",BJ87,0),2)</f>
        <v>0</v>
      </c>
      <c r="AB87" s="51">
        <f>ROUND(IF(AQ87="1",BH87,0),2)</f>
        <v>0</v>
      </c>
      <c r="AC87" s="51">
        <f>ROUND(IF(AQ87="1",BI87,0),2)</f>
        <v>0</v>
      </c>
      <c r="AD87" s="51">
        <f>ROUND(IF(AQ87="7",BH87,0),2)</f>
        <v>0</v>
      </c>
      <c r="AE87" s="51">
        <f>ROUND(IF(AQ87="7",BI87,0),2)</f>
        <v>0</v>
      </c>
      <c r="AF87" s="51">
        <f>ROUND(IF(AQ87="2",BH87,0),2)</f>
        <v>0</v>
      </c>
      <c r="AG87" s="51">
        <f>ROUND(IF(AQ87="2",BI87,0),2)</f>
        <v>0</v>
      </c>
      <c r="AH87" s="51">
        <f>ROUND(IF(AQ87="0",BJ87,0),2)</f>
        <v>0</v>
      </c>
      <c r="AI87" s="35" t="s">
        <v>4</v>
      </c>
      <c r="AJ87" s="51">
        <f>IF(AN87=0,H87,0)</f>
        <v>0</v>
      </c>
      <c r="AK87" s="51">
        <f>IF(AN87=12,H87,0)</f>
        <v>0</v>
      </c>
      <c r="AL87" s="51">
        <f>IF(AN87=21,H87,0)</f>
        <v>0</v>
      </c>
      <c r="AN87" s="51">
        <v>12</v>
      </c>
      <c r="AO87" s="51">
        <f>G87*0</f>
        <v>0</v>
      </c>
      <c r="AP87" s="51">
        <f>G87*(1-0)</f>
        <v>0</v>
      </c>
      <c r="AQ87" s="53" t="s">
        <v>111</v>
      </c>
      <c r="AV87" s="51">
        <f>ROUND(AW87+AX87,2)</f>
        <v>0</v>
      </c>
      <c r="AW87" s="51">
        <f>ROUND(F87*AO87,2)</f>
        <v>0</v>
      </c>
      <c r="AX87" s="51">
        <f>ROUND(F87*AP87,2)</f>
        <v>0</v>
      </c>
      <c r="AY87" s="53" t="s">
        <v>263</v>
      </c>
      <c r="AZ87" s="53" t="s">
        <v>240</v>
      </c>
      <c r="BA87" s="35" t="s">
        <v>117</v>
      </c>
      <c r="BC87" s="51">
        <f>AW87+AX87</f>
        <v>0</v>
      </c>
      <c r="BD87" s="51">
        <f>G87/(100-BE87)*100</f>
        <v>0</v>
      </c>
      <c r="BE87" s="51">
        <v>0</v>
      </c>
      <c r="BF87" s="51">
        <f>87</f>
        <v>87</v>
      </c>
      <c r="BH87" s="51">
        <f>F87*AO87</f>
        <v>0</v>
      </c>
      <c r="BI87" s="51">
        <f>F87*AP87</f>
        <v>0</v>
      </c>
      <c r="BJ87" s="51">
        <f>F87*G87</f>
        <v>0</v>
      </c>
      <c r="BK87" s="53" t="s">
        <v>118</v>
      </c>
      <c r="BL87" s="51">
        <v>96</v>
      </c>
      <c r="BW87" s="51">
        <v>12</v>
      </c>
      <c r="BX87" s="3" t="s">
        <v>262</v>
      </c>
    </row>
    <row r="88" spans="1:76">
      <c r="A88" s="1" t="s">
        <v>264</v>
      </c>
      <c r="B88" s="2" t="s">
        <v>265</v>
      </c>
      <c r="C88" s="75" t="s">
        <v>266</v>
      </c>
      <c r="D88" s="70"/>
      <c r="E88" s="2" t="s">
        <v>124</v>
      </c>
      <c r="F88" s="51">
        <v>4.4400000000000004</v>
      </c>
      <c r="G88" s="52">
        <v>0</v>
      </c>
      <c r="H88" s="51">
        <f>ROUND(F88*G88,2)</f>
        <v>0</v>
      </c>
      <c r="J88" s="41"/>
      <c r="Z88" s="51">
        <f>ROUND(IF(AQ88="5",BJ88,0),2)</f>
        <v>0</v>
      </c>
      <c r="AB88" s="51">
        <f>ROUND(IF(AQ88="1",BH88,0),2)</f>
        <v>0</v>
      </c>
      <c r="AC88" s="51">
        <f>ROUND(IF(AQ88="1",BI88,0),2)</f>
        <v>0</v>
      </c>
      <c r="AD88" s="51">
        <f>ROUND(IF(AQ88="7",BH88,0),2)</f>
        <v>0</v>
      </c>
      <c r="AE88" s="51">
        <f>ROUND(IF(AQ88="7",BI88,0),2)</f>
        <v>0</v>
      </c>
      <c r="AF88" s="51">
        <f>ROUND(IF(AQ88="2",BH88,0),2)</f>
        <v>0</v>
      </c>
      <c r="AG88" s="51">
        <f>ROUND(IF(AQ88="2",BI88,0),2)</f>
        <v>0</v>
      </c>
      <c r="AH88" s="51">
        <f>ROUND(IF(AQ88="0",BJ88,0),2)</f>
        <v>0</v>
      </c>
      <c r="AI88" s="35" t="s">
        <v>4</v>
      </c>
      <c r="AJ88" s="51">
        <f>IF(AN88=0,H88,0)</f>
        <v>0</v>
      </c>
      <c r="AK88" s="51">
        <f>IF(AN88=12,H88,0)</f>
        <v>0</v>
      </c>
      <c r="AL88" s="51">
        <f>IF(AN88=21,H88,0)</f>
        <v>0</v>
      </c>
      <c r="AN88" s="51">
        <v>12</v>
      </c>
      <c r="AO88" s="51">
        <f>G88*0</f>
        <v>0</v>
      </c>
      <c r="AP88" s="51">
        <f>G88*(1-0)</f>
        <v>0</v>
      </c>
      <c r="AQ88" s="53" t="s">
        <v>111</v>
      </c>
      <c r="AV88" s="51">
        <f>ROUND(AW88+AX88,2)</f>
        <v>0</v>
      </c>
      <c r="AW88" s="51">
        <f>ROUND(F88*AO88,2)</f>
        <v>0</v>
      </c>
      <c r="AX88" s="51">
        <f>ROUND(F88*AP88,2)</f>
        <v>0</v>
      </c>
      <c r="AY88" s="53" t="s">
        <v>263</v>
      </c>
      <c r="AZ88" s="53" t="s">
        <v>240</v>
      </c>
      <c r="BA88" s="35" t="s">
        <v>117</v>
      </c>
      <c r="BC88" s="51">
        <f>AW88+AX88</f>
        <v>0</v>
      </c>
      <c r="BD88" s="51">
        <f>G88/(100-BE88)*100</f>
        <v>0</v>
      </c>
      <c r="BE88" s="51">
        <v>0</v>
      </c>
      <c r="BF88" s="51">
        <f>88</f>
        <v>88</v>
      </c>
      <c r="BH88" s="51">
        <f>F88*AO88</f>
        <v>0</v>
      </c>
      <c r="BI88" s="51">
        <f>F88*AP88</f>
        <v>0</v>
      </c>
      <c r="BJ88" s="51">
        <f>F88*G88</f>
        <v>0</v>
      </c>
      <c r="BK88" s="53" t="s">
        <v>118</v>
      </c>
      <c r="BL88" s="51">
        <v>96</v>
      </c>
      <c r="BW88" s="51">
        <v>12</v>
      </c>
      <c r="BX88" s="3" t="s">
        <v>266</v>
      </c>
    </row>
    <row r="89" spans="1:76">
      <c r="A89" s="1" t="s">
        <v>267</v>
      </c>
      <c r="B89" s="2" t="s">
        <v>268</v>
      </c>
      <c r="C89" s="75" t="s">
        <v>269</v>
      </c>
      <c r="D89" s="70"/>
      <c r="E89" s="2" t="s">
        <v>252</v>
      </c>
      <c r="F89" s="51">
        <v>1</v>
      </c>
      <c r="G89" s="52">
        <v>0</v>
      </c>
      <c r="H89" s="51">
        <f>ROUND(F89*G89,2)</f>
        <v>0</v>
      </c>
      <c r="J89" s="41"/>
      <c r="Z89" s="51">
        <f>ROUND(IF(AQ89="5",BJ89,0),2)</f>
        <v>0</v>
      </c>
      <c r="AB89" s="51">
        <f>ROUND(IF(AQ89="1",BH89,0),2)</f>
        <v>0</v>
      </c>
      <c r="AC89" s="51">
        <f>ROUND(IF(AQ89="1",BI89,0),2)</f>
        <v>0</v>
      </c>
      <c r="AD89" s="51">
        <f>ROUND(IF(AQ89="7",BH89,0),2)</f>
        <v>0</v>
      </c>
      <c r="AE89" s="51">
        <f>ROUND(IF(AQ89="7",BI89,0),2)</f>
        <v>0</v>
      </c>
      <c r="AF89" s="51">
        <f>ROUND(IF(AQ89="2",BH89,0),2)</f>
        <v>0</v>
      </c>
      <c r="AG89" s="51">
        <f>ROUND(IF(AQ89="2",BI89,0),2)</f>
        <v>0</v>
      </c>
      <c r="AH89" s="51">
        <f>ROUND(IF(AQ89="0",BJ89,0),2)</f>
        <v>0</v>
      </c>
      <c r="AI89" s="35" t="s">
        <v>4</v>
      </c>
      <c r="AJ89" s="51">
        <f>IF(AN89=0,H89,0)</f>
        <v>0</v>
      </c>
      <c r="AK89" s="51">
        <f>IF(AN89=12,H89,0)</f>
        <v>0</v>
      </c>
      <c r="AL89" s="51">
        <f>IF(AN89=21,H89,0)</f>
        <v>0</v>
      </c>
      <c r="AN89" s="51">
        <v>12</v>
      </c>
      <c r="AO89" s="51">
        <f>G89*0.1471975</f>
        <v>0</v>
      </c>
      <c r="AP89" s="51">
        <f>G89*(1-0.1471975)</f>
        <v>0</v>
      </c>
      <c r="AQ89" s="53" t="s">
        <v>111</v>
      </c>
      <c r="AV89" s="51">
        <f>ROUND(AW89+AX89,2)</f>
        <v>0</v>
      </c>
      <c r="AW89" s="51">
        <f>ROUND(F89*AO89,2)</f>
        <v>0</v>
      </c>
      <c r="AX89" s="51">
        <f>ROUND(F89*AP89,2)</f>
        <v>0</v>
      </c>
      <c r="AY89" s="53" t="s">
        <v>263</v>
      </c>
      <c r="AZ89" s="53" t="s">
        <v>240</v>
      </c>
      <c r="BA89" s="35" t="s">
        <v>117</v>
      </c>
      <c r="BC89" s="51">
        <f>AW89+AX89</f>
        <v>0</v>
      </c>
      <c r="BD89" s="51">
        <f>G89/(100-BE89)*100</f>
        <v>0</v>
      </c>
      <c r="BE89" s="51">
        <v>0</v>
      </c>
      <c r="BF89" s="51">
        <f>89</f>
        <v>89</v>
      </c>
      <c r="BH89" s="51">
        <f>F89*AO89</f>
        <v>0</v>
      </c>
      <c r="BI89" s="51">
        <f>F89*AP89</f>
        <v>0</v>
      </c>
      <c r="BJ89" s="51">
        <f>F89*G89</f>
        <v>0</v>
      </c>
      <c r="BK89" s="53" t="s">
        <v>118</v>
      </c>
      <c r="BL89" s="51">
        <v>96</v>
      </c>
      <c r="BW89" s="51">
        <v>12</v>
      </c>
      <c r="BX89" s="3" t="s">
        <v>269</v>
      </c>
    </row>
    <row r="90" spans="1:76">
      <c r="A90" s="1" t="s">
        <v>270</v>
      </c>
      <c r="B90" s="2" t="s">
        <v>271</v>
      </c>
      <c r="C90" s="75" t="s">
        <v>272</v>
      </c>
      <c r="D90" s="70"/>
      <c r="E90" s="2" t="s">
        <v>124</v>
      </c>
      <c r="F90" s="51">
        <v>37.64</v>
      </c>
      <c r="G90" s="52">
        <v>0</v>
      </c>
      <c r="H90" s="51">
        <f>ROUND(F90*G90,2)</f>
        <v>0</v>
      </c>
      <c r="J90" s="41"/>
      <c r="Z90" s="51">
        <f>ROUND(IF(AQ90="5",BJ90,0),2)</f>
        <v>0</v>
      </c>
      <c r="AB90" s="51">
        <f>ROUND(IF(AQ90="1",BH90,0),2)</f>
        <v>0</v>
      </c>
      <c r="AC90" s="51">
        <f>ROUND(IF(AQ90="1",BI90,0),2)</f>
        <v>0</v>
      </c>
      <c r="AD90" s="51">
        <f>ROUND(IF(AQ90="7",BH90,0),2)</f>
        <v>0</v>
      </c>
      <c r="AE90" s="51">
        <f>ROUND(IF(AQ90="7",BI90,0),2)</f>
        <v>0</v>
      </c>
      <c r="AF90" s="51">
        <f>ROUND(IF(AQ90="2",BH90,0),2)</f>
        <v>0</v>
      </c>
      <c r="AG90" s="51">
        <f>ROUND(IF(AQ90="2",BI90,0),2)</f>
        <v>0</v>
      </c>
      <c r="AH90" s="51">
        <f>ROUND(IF(AQ90="0",BJ90,0),2)</f>
        <v>0</v>
      </c>
      <c r="AI90" s="35" t="s">
        <v>4</v>
      </c>
      <c r="AJ90" s="51">
        <f>IF(AN90=0,H90,0)</f>
        <v>0</v>
      </c>
      <c r="AK90" s="51">
        <f>IF(AN90=12,H90,0)</f>
        <v>0</v>
      </c>
      <c r="AL90" s="51">
        <f>IF(AN90=21,H90,0)</f>
        <v>0</v>
      </c>
      <c r="AN90" s="51">
        <v>12</v>
      </c>
      <c r="AO90" s="51">
        <f>G90*0</f>
        <v>0</v>
      </c>
      <c r="AP90" s="51">
        <f>G90*(1-0)</f>
        <v>0</v>
      </c>
      <c r="AQ90" s="53" t="s">
        <v>111</v>
      </c>
      <c r="AV90" s="51">
        <f>ROUND(AW90+AX90,2)</f>
        <v>0</v>
      </c>
      <c r="AW90" s="51">
        <f>ROUND(F90*AO90,2)</f>
        <v>0</v>
      </c>
      <c r="AX90" s="51">
        <f>ROUND(F90*AP90,2)</f>
        <v>0</v>
      </c>
      <c r="AY90" s="53" t="s">
        <v>263</v>
      </c>
      <c r="AZ90" s="53" t="s">
        <v>240</v>
      </c>
      <c r="BA90" s="35" t="s">
        <v>117</v>
      </c>
      <c r="BC90" s="51">
        <f>AW90+AX90</f>
        <v>0</v>
      </c>
      <c r="BD90" s="51">
        <f>G90/(100-BE90)*100</f>
        <v>0</v>
      </c>
      <c r="BE90" s="51">
        <v>0</v>
      </c>
      <c r="BF90" s="51">
        <f>90</f>
        <v>90</v>
      </c>
      <c r="BH90" s="51">
        <f>F90*AO90</f>
        <v>0</v>
      </c>
      <c r="BI90" s="51">
        <f>F90*AP90</f>
        <v>0</v>
      </c>
      <c r="BJ90" s="51">
        <f>F90*G90</f>
        <v>0</v>
      </c>
      <c r="BK90" s="53" t="s">
        <v>118</v>
      </c>
      <c r="BL90" s="51">
        <v>96</v>
      </c>
      <c r="BW90" s="51">
        <v>12</v>
      </c>
      <c r="BX90" s="3" t="s">
        <v>272</v>
      </c>
    </row>
    <row r="91" spans="1:76">
      <c r="A91" s="54"/>
      <c r="C91" s="56" t="s">
        <v>273</v>
      </c>
      <c r="D91" s="57" t="s">
        <v>274</v>
      </c>
      <c r="F91" s="58">
        <v>37.64</v>
      </c>
      <c r="J91" s="41"/>
    </row>
    <row r="92" spans="1:76">
      <c r="A92" s="1" t="s">
        <v>275</v>
      </c>
      <c r="B92" s="2" t="s">
        <v>276</v>
      </c>
      <c r="C92" s="75" t="s">
        <v>277</v>
      </c>
      <c r="D92" s="70"/>
      <c r="E92" s="2" t="s">
        <v>124</v>
      </c>
      <c r="F92" s="51">
        <v>7.3959999999999999</v>
      </c>
      <c r="G92" s="52">
        <v>0</v>
      </c>
      <c r="H92" s="51">
        <f>ROUND(F92*G92,2)</f>
        <v>0</v>
      </c>
      <c r="J92" s="41"/>
      <c r="Z92" s="51">
        <f>ROUND(IF(AQ92="5",BJ92,0),2)</f>
        <v>0</v>
      </c>
      <c r="AB92" s="51">
        <f>ROUND(IF(AQ92="1",BH92,0),2)</f>
        <v>0</v>
      </c>
      <c r="AC92" s="51">
        <f>ROUND(IF(AQ92="1",BI92,0),2)</f>
        <v>0</v>
      </c>
      <c r="AD92" s="51">
        <f>ROUND(IF(AQ92="7",BH92,0),2)</f>
        <v>0</v>
      </c>
      <c r="AE92" s="51">
        <f>ROUND(IF(AQ92="7",BI92,0),2)</f>
        <v>0</v>
      </c>
      <c r="AF92" s="51">
        <f>ROUND(IF(AQ92="2",BH92,0),2)</f>
        <v>0</v>
      </c>
      <c r="AG92" s="51">
        <f>ROUND(IF(AQ92="2",BI92,0),2)</f>
        <v>0</v>
      </c>
      <c r="AH92" s="51">
        <f>ROUND(IF(AQ92="0",BJ92,0),2)</f>
        <v>0</v>
      </c>
      <c r="AI92" s="35" t="s">
        <v>4</v>
      </c>
      <c r="AJ92" s="51">
        <f>IF(AN92=0,H92,0)</f>
        <v>0</v>
      </c>
      <c r="AK92" s="51">
        <f>IF(AN92=12,H92,0)</f>
        <v>0</v>
      </c>
      <c r="AL92" s="51">
        <f>IF(AN92=21,H92,0)</f>
        <v>0</v>
      </c>
      <c r="AN92" s="51">
        <v>12</v>
      </c>
      <c r="AO92" s="51">
        <f>G92*0.087717692</f>
        <v>0</v>
      </c>
      <c r="AP92" s="51">
        <f>G92*(1-0.087717692)</f>
        <v>0</v>
      </c>
      <c r="AQ92" s="53" t="s">
        <v>111</v>
      </c>
      <c r="AV92" s="51">
        <f>ROUND(AW92+AX92,2)</f>
        <v>0</v>
      </c>
      <c r="AW92" s="51">
        <f>ROUND(F92*AO92,2)</f>
        <v>0</v>
      </c>
      <c r="AX92" s="51">
        <f>ROUND(F92*AP92,2)</f>
        <v>0</v>
      </c>
      <c r="AY92" s="53" t="s">
        <v>263</v>
      </c>
      <c r="AZ92" s="53" t="s">
        <v>240</v>
      </c>
      <c r="BA92" s="35" t="s">
        <v>117</v>
      </c>
      <c r="BC92" s="51">
        <f>AW92+AX92</f>
        <v>0</v>
      </c>
      <c r="BD92" s="51">
        <f>G92/(100-BE92)*100</f>
        <v>0</v>
      </c>
      <c r="BE92" s="51">
        <v>0</v>
      </c>
      <c r="BF92" s="51">
        <f>92</f>
        <v>92</v>
      </c>
      <c r="BH92" s="51">
        <f>F92*AO92</f>
        <v>0</v>
      </c>
      <c r="BI92" s="51">
        <f>F92*AP92</f>
        <v>0</v>
      </c>
      <c r="BJ92" s="51">
        <f>F92*G92</f>
        <v>0</v>
      </c>
      <c r="BK92" s="53" t="s">
        <v>118</v>
      </c>
      <c r="BL92" s="51">
        <v>96</v>
      </c>
      <c r="BW92" s="51">
        <v>12</v>
      </c>
      <c r="BX92" s="3" t="s">
        <v>277</v>
      </c>
    </row>
    <row r="93" spans="1:76">
      <c r="A93" s="54"/>
      <c r="C93" s="56" t="s">
        <v>137</v>
      </c>
      <c r="D93" s="57" t="s">
        <v>4</v>
      </c>
      <c r="F93" s="58">
        <v>7.3959999999999999</v>
      </c>
      <c r="J93" s="41"/>
    </row>
    <row r="94" spans="1:76">
      <c r="A94" s="1" t="s">
        <v>278</v>
      </c>
      <c r="B94" s="2" t="s">
        <v>279</v>
      </c>
      <c r="C94" s="75" t="s">
        <v>280</v>
      </c>
      <c r="D94" s="70"/>
      <c r="E94" s="2" t="s">
        <v>124</v>
      </c>
      <c r="F94" s="51">
        <v>37.64</v>
      </c>
      <c r="G94" s="52">
        <v>0</v>
      </c>
      <c r="H94" s="51">
        <f>ROUND(F94*G94,2)</f>
        <v>0</v>
      </c>
      <c r="J94" s="41"/>
      <c r="Z94" s="51">
        <f>ROUND(IF(AQ94="5",BJ94,0),2)</f>
        <v>0</v>
      </c>
      <c r="AB94" s="51">
        <f>ROUND(IF(AQ94="1",BH94,0),2)</f>
        <v>0</v>
      </c>
      <c r="AC94" s="51">
        <f>ROUND(IF(AQ94="1",BI94,0),2)</f>
        <v>0</v>
      </c>
      <c r="AD94" s="51">
        <f>ROUND(IF(AQ94="7",BH94,0),2)</f>
        <v>0</v>
      </c>
      <c r="AE94" s="51">
        <f>ROUND(IF(AQ94="7",BI94,0),2)</f>
        <v>0</v>
      </c>
      <c r="AF94" s="51">
        <f>ROUND(IF(AQ94="2",BH94,0),2)</f>
        <v>0</v>
      </c>
      <c r="AG94" s="51">
        <f>ROUND(IF(AQ94="2",BI94,0),2)</f>
        <v>0</v>
      </c>
      <c r="AH94" s="51">
        <f>ROUND(IF(AQ94="0",BJ94,0),2)</f>
        <v>0</v>
      </c>
      <c r="AI94" s="35" t="s">
        <v>4</v>
      </c>
      <c r="AJ94" s="51">
        <f>IF(AN94=0,H94,0)</f>
        <v>0</v>
      </c>
      <c r="AK94" s="51">
        <f>IF(AN94=12,H94,0)</f>
        <v>0</v>
      </c>
      <c r="AL94" s="51">
        <f>IF(AN94=21,H94,0)</f>
        <v>0</v>
      </c>
      <c r="AN94" s="51">
        <v>12</v>
      </c>
      <c r="AO94" s="51">
        <f>G94*0</f>
        <v>0</v>
      </c>
      <c r="AP94" s="51">
        <f>G94*(1-0)</f>
        <v>0</v>
      </c>
      <c r="AQ94" s="53" t="s">
        <v>111</v>
      </c>
      <c r="AV94" s="51">
        <f>ROUND(AW94+AX94,2)</f>
        <v>0</v>
      </c>
      <c r="AW94" s="51">
        <f>ROUND(F94*AO94,2)</f>
        <v>0</v>
      </c>
      <c r="AX94" s="51">
        <f>ROUND(F94*AP94,2)</f>
        <v>0</v>
      </c>
      <c r="AY94" s="53" t="s">
        <v>263</v>
      </c>
      <c r="AZ94" s="53" t="s">
        <v>240</v>
      </c>
      <c r="BA94" s="35" t="s">
        <v>117</v>
      </c>
      <c r="BC94" s="51">
        <f>AW94+AX94</f>
        <v>0</v>
      </c>
      <c r="BD94" s="51">
        <f>G94/(100-BE94)*100</f>
        <v>0</v>
      </c>
      <c r="BE94" s="51">
        <v>0</v>
      </c>
      <c r="BF94" s="51">
        <f>94</f>
        <v>94</v>
      </c>
      <c r="BH94" s="51">
        <f>F94*AO94</f>
        <v>0</v>
      </c>
      <c r="BI94" s="51">
        <f>F94*AP94</f>
        <v>0</v>
      </c>
      <c r="BJ94" s="51">
        <f>F94*G94</f>
        <v>0</v>
      </c>
      <c r="BK94" s="53" t="s">
        <v>118</v>
      </c>
      <c r="BL94" s="51">
        <v>96</v>
      </c>
      <c r="BW94" s="51">
        <v>12</v>
      </c>
      <c r="BX94" s="3" t="s">
        <v>280</v>
      </c>
    </row>
    <row r="95" spans="1:76">
      <c r="A95" s="54"/>
      <c r="C95" s="56" t="s">
        <v>273</v>
      </c>
      <c r="D95" s="57" t="s">
        <v>281</v>
      </c>
      <c r="F95" s="58">
        <v>37.64</v>
      </c>
      <c r="J95" s="41"/>
    </row>
    <row r="96" spans="1:76">
      <c r="A96" s="1" t="s">
        <v>282</v>
      </c>
      <c r="B96" s="2" t="s">
        <v>283</v>
      </c>
      <c r="C96" s="75" t="s">
        <v>284</v>
      </c>
      <c r="D96" s="70"/>
      <c r="E96" s="2" t="s">
        <v>285</v>
      </c>
      <c r="F96" s="51">
        <v>1.3120000000000001</v>
      </c>
      <c r="G96" s="52">
        <v>0</v>
      </c>
      <c r="H96" s="51">
        <f>ROUND(F96*G96,2)</f>
        <v>0</v>
      </c>
      <c r="J96" s="41"/>
      <c r="Z96" s="51">
        <f>ROUND(IF(AQ96="5",BJ96,0),2)</f>
        <v>0</v>
      </c>
      <c r="AB96" s="51">
        <f>ROUND(IF(AQ96="1",BH96,0),2)</f>
        <v>0</v>
      </c>
      <c r="AC96" s="51">
        <f>ROUND(IF(AQ96="1",BI96,0),2)</f>
        <v>0</v>
      </c>
      <c r="AD96" s="51">
        <f>ROUND(IF(AQ96="7",BH96,0),2)</f>
        <v>0</v>
      </c>
      <c r="AE96" s="51">
        <f>ROUND(IF(AQ96="7",BI96,0),2)</f>
        <v>0</v>
      </c>
      <c r="AF96" s="51">
        <f>ROUND(IF(AQ96="2",BH96,0),2)</f>
        <v>0</v>
      </c>
      <c r="AG96" s="51">
        <f>ROUND(IF(AQ96="2",BI96,0),2)</f>
        <v>0</v>
      </c>
      <c r="AH96" s="51">
        <f>ROUND(IF(AQ96="0",BJ96,0),2)</f>
        <v>0</v>
      </c>
      <c r="AI96" s="35" t="s">
        <v>4</v>
      </c>
      <c r="AJ96" s="51">
        <f>IF(AN96=0,H96,0)</f>
        <v>0</v>
      </c>
      <c r="AK96" s="51">
        <f>IF(AN96=12,H96,0)</f>
        <v>0</v>
      </c>
      <c r="AL96" s="51">
        <f>IF(AN96=21,H96,0)</f>
        <v>0</v>
      </c>
      <c r="AN96" s="51">
        <v>12</v>
      </c>
      <c r="AO96" s="51">
        <f>G96*0</f>
        <v>0</v>
      </c>
      <c r="AP96" s="51">
        <f>G96*(1-0)</f>
        <v>0</v>
      </c>
      <c r="AQ96" s="53" t="s">
        <v>139</v>
      </c>
      <c r="AV96" s="51">
        <f>ROUND(AW96+AX96,2)</f>
        <v>0</v>
      </c>
      <c r="AW96" s="51">
        <f>ROUND(F96*AO96,2)</f>
        <v>0</v>
      </c>
      <c r="AX96" s="51">
        <f>ROUND(F96*AP96,2)</f>
        <v>0</v>
      </c>
      <c r="AY96" s="53" t="s">
        <v>263</v>
      </c>
      <c r="AZ96" s="53" t="s">
        <v>240</v>
      </c>
      <c r="BA96" s="35" t="s">
        <v>117</v>
      </c>
      <c r="BC96" s="51">
        <f>AW96+AX96</f>
        <v>0</v>
      </c>
      <c r="BD96" s="51">
        <f>G96/(100-BE96)*100</f>
        <v>0</v>
      </c>
      <c r="BE96" s="51">
        <v>0</v>
      </c>
      <c r="BF96" s="51">
        <f>96</f>
        <v>96</v>
      </c>
      <c r="BH96" s="51">
        <f>F96*AO96</f>
        <v>0</v>
      </c>
      <c r="BI96" s="51">
        <f>F96*AP96</f>
        <v>0</v>
      </c>
      <c r="BJ96" s="51">
        <f>F96*G96</f>
        <v>0</v>
      </c>
      <c r="BK96" s="53" t="s">
        <v>118</v>
      </c>
      <c r="BL96" s="51">
        <v>96</v>
      </c>
      <c r="BW96" s="51">
        <v>12</v>
      </c>
      <c r="BX96" s="3" t="s">
        <v>284</v>
      </c>
    </row>
    <row r="97" spans="1:76">
      <c r="A97" s="1" t="s">
        <v>109</v>
      </c>
      <c r="B97" s="2" t="s">
        <v>286</v>
      </c>
      <c r="C97" s="75" t="s">
        <v>287</v>
      </c>
      <c r="D97" s="70"/>
      <c r="E97" s="2" t="s">
        <v>285</v>
      </c>
      <c r="F97" s="51">
        <v>1.3120000000000001</v>
      </c>
      <c r="G97" s="52">
        <v>0</v>
      </c>
      <c r="H97" s="51">
        <f>ROUND(F97*G97,2)</f>
        <v>0</v>
      </c>
      <c r="J97" s="41"/>
      <c r="Z97" s="51">
        <f>ROUND(IF(AQ97="5",BJ97,0),2)</f>
        <v>0</v>
      </c>
      <c r="AB97" s="51">
        <f>ROUND(IF(AQ97="1",BH97,0),2)</f>
        <v>0</v>
      </c>
      <c r="AC97" s="51">
        <f>ROUND(IF(AQ97="1",BI97,0),2)</f>
        <v>0</v>
      </c>
      <c r="AD97" s="51">
        <f>ROUND(IF(AQ97="7",BH97,0),2)</f>
        <v>0</v>
      </c>
      <c r="AE97" s="51">
        <f>ROUND(IF(AQ97="7",BI97,0),2)</f>
        <v>0</v>
      </c>
      <c r="AF97" s="51">
        <f>ROUND(IF(AQ97="2",BH97,0),2)</f>
        <v>0</v>
      </c>
      <c r="AG97" s="51">
        <f>ROUND(IF(AQ97="2",BI97,0),2)</f>
        <v>0</v>
      </c>
      <c r="AH97" s="51">
        <f>ROUND(IF(AQ97="0",BJ97,0),2)</f>
        <v>0</v>
      </c>
      <c r="AI97" s="35" t="s">
        <v>4</v>
      </c>
      <c r="AJ97" s="51">
        <f>IF(AN97=0,H97,0)</f>
        <v>0</v>
      </c>
      <c r="AK97" s="51">
        <f>IF(AN97=12,H97,0)</f>
        <v>0</v>
      </c>
      <c r="AL97" s="51">
        <f>IF(AN97=21,H97,0)</f>
        <v>0</v>
      </c>
      <c r="AN97" s="51">
        <v>12</v>
      </c>
      <c r="AO97" s="51">
        <f>G97*0</f>
        <v>0</v>
      </c>
      <c r="AP97" s="51">
        <f>G97*(1-0)</f>
        <v>0</v>
      </c>
      <c r="AQ97" s="53" t="s">
        <v>139</v>
      </c>
      <c r="AV97" s="51">
        <f>ROUND(AW97+AX97,2)</f>
        <v>0</v>
      </c>
      <c r="AW97" s="51">
        <f>ROUND(F97*AO97,2)</f>
        <v>0</v>
      </c>
      <c r="AX97" s="51">
        <f>ROUND(F97*AP97,2)</f>
        <v>0</v>
      </c>
      <c r="AY97" s="53" t="s">
        <v>263</v>
      </c>
      <c r="AZ97" s="53" t="s">
        <v>240</v>
      </c>
      <c r="BA97" s="35" t="s">
        <v>117</v>
      </c>
      <c r="BC97" s="51">
        <f>AW97+AX97</f>
        <v>0</v>
      </c>
      <c r="BD97" s="51">
        <f>G97/(100-BE97)*100</f>
        <v>0</v>
      </c>
      <c r="BE97" s="51">
        <v>0</v>
      </c>
      <c r="BF97" s="51">
        <f>97</f>
        <v>97</v>
      </c>
      <c r="BH97" s="51">
        <f>F97*AO97</f>
        <v>0</v>
      </c>
      <c r="BI97" s="51">
        <f>F97*AP97</f>
        <v>0</v>
      </c>
      <c r="BJ97" s="51">
        <f>F97*G97</f>
        <v>0</v>
      </c>
      <c r="BK97" s="53" t="s">
        <v>118</v>
      </c>
      <c r="BL97" s="51">
        <v>96</v>
      </c>
      <c r="BW97" s="51">
        <v>12</v>
      </c>
      <c r="BX97" s="3" t="s">
        <v>287</v>
      </c>
    </row>
    <row r="98" spans="1:76">
      <c r="A98" s="1" t="s">
        <v>288</v>
      </c>
      <c r="B98" s="2" t="s">
        <v>289</v>
      </c>
      <c r="C98" s="75" t="s">
        <v>290</v>
      </c>
      <c r="D98" s="70"/>
      <c r="E98" s="2" t="s">
        <v>285</v>
      </c>
      <c r="F98" s="51">
        <v>6.56</v>
      </c>
      <c r="G98" s="52">
        <v>0</v>
      </c>
      <c r="H98" s="51">
        <f>ROUND(F98*G98,2)</f>
        <v>0</v>
      </c>
      <c r="J98" s="41"/>
      <c r="Z98" s="51">
        <f>ROUND(IF(AQ98="5",BJ98,0),2)</f>
        <v>0</v>
      </c>
      <c r="AB98" s="51">
        <f>ROUND(IF(AQ98="1",BH98,0),2)</f>
        <v>0</v>
      </c>
      <c r="AC98" s="51">
        <f>ROUND(IF(AQ98="1",BI98,0),2)</f>
        <v>0</v>
      </c>
      <c r="AD98" s="51">
        <f>ROUND(IF(AQ98="7",BH98,0),2)</f>
        <v>0</v>
      </c>
      <c r="AE98" s="51">
        <f>ROUND(IF(AQ98="7",BI98,0),2)</f>
        <v>0</v>
      </c>
      <c r="AF98" s="51">
        <f>ROUND(IF(AQ98="2",BH98,0),2)</f>
        <v>0</v>
      </c>
      <c r="AG98" s="51">
        <f>ROUND(IF(AQ98="2",BI98,0),2)</f>
        <v>0</v>
      </c>
      <c r="AH98" s="51">
        <f>ROUND(IF(AQ98="0",BJ98,0),2)</f>
        <v>0</v>
      </c>
      <c r="AI98" s="35" t="s">
        <v>4</v>
      </c>
      <c r="AJ98" s="51">
        <f>IF(AN98=0,H98,0)</f>
        <v>0</v>
      </c>
      <c r="AK98" s="51">
        <f>IF(AN98=12,H98,0)</f>
        <v>0</v>
      </c>
      <c r="AL98" s="51">
        <f>IF(AN98=21,H98,0)</f>
        <v>0</v>
      </c>
      <c r="AN98" s="51">
        <v>12</v>
      </c>
      <c r="AO98" s="51">
        <f>G98*0</f>
        <v>0</v>
      </c>
      <c r="AP98" s="51">
        <f>G98*(1-0)</f>
        <v>0</v>
      </c>
      <c r="AQ98" s="53" t="s">
        <v>139</v>
      </c>
      <c r="AV98" s="51">
        <f>ROUND(AW98+AX98,2)</f>
        <v>0</v>
      </c>
      <c r="AW98" s="51">
        <f>ROUND(F98*AO98,2)</f>
        <v>0</v>
      </c>
      <c r="AX98" s="51">
        <f>ROUND(F98*AP98,2)</f>
        <v>0</v>
      </c>
      <c r="AY98" s="53" t="s">
        <v>263</v>
      </c>
      <c r="AZ98" s="53" t="s">
        <v>240</v>
      </c>
      <c r="BA98" s="35" t="s">
        <v>117</v>
      </c>
      <c r="BC98" s="51">
        <f>AW98+AX98</f>
        <v>0</v>
      </c>
      <c r="BD98" s="51">
        <f>G98/(100-BE98)*100</f>
        <v>0</v>
      </c>
      <c r="BE98" s="51">
        <v>0</v>
      </c>
      <c r="BF98" s="51">
        <f>98</f>
        <v>98</v>
      </c>
      <c r="BH98" s="51">
        <f>F98*AO98</f>
        <v>0</v>
      </c>
      <c r="BI98" s="51">
        <f>F98*AP98</f>
        <v>0</v>
      </c>
      <c r="BJ98" s="51">
        <f>F98*G98</f>
        <v>0</v>
      </c>
      <c r="BK98" s="53" t="s">
        <v>118</v>
      </c>
      <c r="BL98" s="51">
        <v>96</v>
      </c>
      <c r="BW98" s="51">
        <v>12</v>
      </c>
      <c r="BX98" s="3" t="s">
        <v>290</v>
      </c>
    </row>
    <row r="99" spans="1:76">
      <c r="A99" s="54"/>
      <c r="C99" s="56" t="s">
        <v>291</v>
      </c>
      <c r="D99" s="57" t="s">
        <v>4</v>
      </c>
      <c r="F99" s="58">
        <v>6.56</v>
      </c>
      <c r="J99" s="41"/>
    </row>
    <row r="100" spans="1:76">
      <c r="A100" s="1" t="s">
        <v>292</v>
      </c>
      <c r="B100" s="2" t="s">
        <v>293</v>
      </c>
      <c r="C100" s="75" t="s">
        <v>294</v>
      </c>
      <c r="D100" s="70"/>
      <c r="E100" s="2" t="s">
        <v>285</v>
      </c>
      <c r="F100" s="51">
        <v>1.3120000000000001</v>
      </c>
      <c r="G100" s="52">
        <v>0</v>
      </c>
      <c r="H100" s="51">
        <f>ROUND(F100*G100,2)</f>
        <v>0</v>
      </c>
      <c r="J100" s="41"/>
      <c r="Z100" s="51">
        <f>ROUND(IF(AQ100="5",BJ100,0),2)</f>
        <v>0</v>
      </c>
      <c r="AB100" s="51">
        <f>ROUND(IF(AQ100="1",BH100,0),2)</f>
        <v>0</v>
      </c>
      <c r="AC100" s="51">
        <f>ROUND(IF(AQ100="1",BI100,0),2)</f>
        <v>0</v>
      </c>
      <c r="AD100" s="51">
        <f>ROUND(IF(AQ100="7",BH100,0),2)</f>
        <v>0</v>
      </c>
      <c r="AE100" s="51">
        <f>ROUND(IF(AQ100="7",BI100,0),2)</f>
        <v>0</v>
      </c>
      <c r="AF100" s="51">
        <f>ROUND(IF(AQ100="2",BH100,0),2)</f>
        <v>0</v>
      </c>
      <c r="AG100" s="51">
        <f>ROUND(IF(AQ100="2",BI100,0),2)</f>
        <v>0</v>
      </c>
      <c r="AH100" s="51">
        <f>ROUND(IF(AQ100="0",BJ100,0),2)</f>
        <v>0</v>
      </c>
      <c r="AI100" s="35" t="s">
        <v>4</v>
      </c>
      <c r="AJ100" s="51">
        <f>IF(AN100=0,H100,0)</f>
        <v>0</v>
      </c>
      <c r="AK100" s="51">
        <f>IF(AN100=12,H100,0)</f>
        <v>0</v>
      </c>
      <c r="AL100" s="51">
        <f>IF(AN100=21,H100,0)</f>
        <v>0</v>
      </c>
      <c r="AN100" s="51">
        <v>12</v>
      </c>
      <c r="AO100" s="51">
        <f>G100*0</f>
        <v>0</v>
      </c>
      <c r="AP100" s="51">
        <f>G100*(1-0)</f>
        <v>0</v>
      </c>
      <c r="AQ100" s="53" t="s">
        <v>139</v>
      </c>
      <c r="AV100" s="51">
        <f>ROUND(AW100+AX100,2)</f>
        <v>0</v>
      </c>
      <c r="AW100" s="51">
        <f>ROUND(F100*AO100,2)</f>
        <v>0</v>
      </c>
      <c r="AX100" s="51">
        <f>ROUND(F100*AP100,2)</f>
        <v>0</v>
      </c>
      <c r="AY100" s="53" t="s">
        <v>263</v>
      </c>
      <c r="AZ100" s="53" t="s">
        <v>240</v>
      </c>
      <c r="BA100" s="35" t="s">
        <v>117</v>
      </c>
      <c r="BC100" s="51">
        <f>AW100+AX100</f>
        <v>0</v>
      </c>
      <c r="BD100" s="51">
        <f>G100/(100-BE100)*100</f>
        <v>0</v>
      </c>
      <c r="BE100" s="51">
        <v>0</v>
      </c>
      <c r="BF100" s="51">
        <f>100</f>
        <v>100</v>
      </c>
      <c r="BH100" s="51">
        <f>F100*AO100</f>
        <v>0</v>
      </c>
      <c r="BI100" s="51">
        <f>F100*AP100</f>
        <v>0</v>
      </c>
      <c r="BJ100" s="51">
        <f>F100*G100</f>
        <v>0</v>
      </c>
      <c r="BK100" s="53" t="s">
        <v>118</v>
      </c>
      <c r="BL100" s="51">
        <v>96</v>
      </c>
      <c r="BW100" s="51">
        <v>12</v>
      </c>
      <c r="BX100" s="3" t="s">
        <v>294</v>
      </c>
    </row>
    <row r="101" spans="1:76">
      <c r="A101" s="1" t="s">
        <v>295</v>
      </c>
      <c r="B101" s="2" t="s">
        <v>296</v>
      </c>
      <c r="C101" s="75" t="s">
        <v>297</v>
      </c>
      <c r="D101" s="70"/>
      <c r="E101" s="2" t="s">
        <v>285</v>
      </c>
      <c r="F101" s="51">
        <v>5.2480000000000002</v>
      </c>
      <c r="G101" s="52">
        <v>0</v>
      </c>
      <c r="H101" s="51">
        <f>ROUND(F101*G101,2)</f>
        <v>0</v>
      </c>
      <c r="J101" s="41"/>
      <c r="Z101" s="51">
        <f>ROUND(IF(AQ101="5",BJ101,0),2)</f>
        <v>0</v>
      </c>
      <c r="AB101" s="51">
        <f>ROUND(IF(AQ101="1",BH101,0),2)</f>
        <v>0</v>
      </c>
      <c r="AC101" s="51">
        <f>ROUND(IF(AQ101="1",BI101,0),2)</f>
        <v>0</v>
      </c>
      <c r="AD101" s="51">
        <f>ROUND(IF(AQ101="7",BH101,0),2)</f>
        <v>0</v>
      </c>
      <c r="AE101" s="51">
        <f>ROUND(IF(AQ101="7",BI101,0),2)</f>
        <v>0</v>
      </c>
      <c r="AF101" s="51">
        <f>ROUND(IF(AQ101="2",BH101,0),2)</f>
        <v>0</v>
      </c>
      <c r="AG101" s="51">
        <f>ROUND(IF(AQ101="2",BI101,0),2)</f>
        <v>0</v>
      </c>
      <c r="AH101" s="51">
        <f>ROUND(IF(AQ101="0",BJ101,0),2)</f>
        <v>0</v>
      </c>
      <c r="AI101" s="35" t="s">
        <v>4</v>
      </c>
      <c r="AJ101" s="51">
        <f>IF(AN101=0,H101,0)</f>
        <v>0</v>
      </c>
      <c r="AK101" s="51">
        <f>IF(AN101=12,H101,0)</f>
        <v>0</v>
      </c>
      <c r="AL101" s="51">
        <f>IF(AN101=21,H101,0)</f>
        <v>0</v>
      </c>
      <c r="AN101" s="51">
        <v>12</v>
      </c>
      <c r="AO101" s="51">
        <f>G101*0</f>
        <v>0</v>
      </c>
      <c r="AP101" s="51">
        <f>G101*(1-0)</f>
        <v>0</v>
      </c>
      <c r="AQ101" s="53" t="s">
        <v>139</v>
      </c>
      <c r="AV101" s="51">
        <f>ROUND(AW101+AX101,2)</f>
        <v>0</v>
      </c>
      <c r="AW101" s="51">
        <f>ROUND(F101*AO101,2)</f>
        <v>0</v>
      </c>
      <c r="AX101" s="51">
        <f>ROUND(F101*AP101,2)</f>
        <v>0</v>
      </c>
      <c r="AY101" s="53" t="s">
        <v>263</v>
      </c>
      <c r="AZ101" s="53" t="s">
        <v>240</v>
      </c>
      <c r="BA101" s="35" t="s">
        <v>117</v>
      </c>
      <c r="BC101" s="51">
        <f>AW101+AX101</f>
        <v>0</v>
      </c>
      <c r="BD101" s="51">
        <f>G101/(100-BE101)*100</f>
        <v>0</v>
      </c>
      <c r="BE101" s="51">
        <v>0</v>
      </c>
      <c r="BF101" s="51">
        <f>101</f>
        <v>101</v>
      </c>
      <c r="BH101" s="51">
        <f>F101*AO101</f>
        <v>0</v>
      </c>
      <c r="BI101" s="51">
        <f>F101*AP101</f>
        <v>0</v>
      </c>
      <c r="BJ101" s="51">
        <f>F101*G101</f>
        <v>0</v>
      </c>
      <c r="BK101" s="53" t="s">
        <v>118</v>
      </c>
      <c r="BL101" s="51">
        <v>96</v>
      </c>
      <c r="BW101" s="51">
        <v>12</v>
      </c>
      <c r="BX101" s="3" t="s">
        <v>297</v>
      </c>
    </row>
    <row r="102" spans="1:76">
      <c r="A102" s="54"/>
      <c r="C102" s="56" t="s">
        <v>298</v>
      </c>
      <c r="D102" s="57" t="s">
        <v>4</v>
      </c>
      <c r="F102" s="58">
        <v>5.2480000000000002</v>
      </c>
      <c r="J102" s="41"/>
    </row>
    <row r="103" spans="1:76">
      <c r="A103" s="1" t="s">
        <v>299</v>
      </c>
      <c r="B103" s="2" t="s">
        <v>300</v>
      </c>
      <c r="C103" s="75" t="s">
        <v>301</v>
      </c>
      <c r="D103" s="70"/>
      <c r="E103" s="2" t="s">
        <v>285</v>
      </c>
      <c r="F103" s="51">
        <v>1.147</v>
      </c>
      <c r="G103" s="52">
        <v>0</v>
      </c>
      <c r="H103" s="51">
        <f>ROUND(F103*G103,2)</f>
        <v>0</v>
      </c>
      <c r="J103" s="41"/>
      <c r="Z103" s="51">
        <f>ROUND(IF(AQ103="5",BJ103,0),2)</f>
        <v>0</v>
      </c>
      <c r="AB103" s="51">
        <f>ROUND(IF(AQ103="1",BH103,0),2)</f>
        <v>0</v>
      </c>
      <c r="AC103" s="51">
        <f>ROUND(IF(AQ103="1",BI103,0),2)</f>
        <v>0</v>
      </c>
      <c r="AD103" s="51">
        <f>ROUND(IF(AQ103="7",BH103,0),2)</f>
        <v>0</v>
      </c>
      <c r="AE103" s="51">
        <f>ROUND(IF(AQ103="7",BI103,0),2)</f>
        <v>0</v>
      </c>
      <c r="AF103" s="51">
        <f>ROUND(IF(AQ103="2",BH103,0),2)</f>
        <v>0</v>
      </c>
      <c r="AG103" s="51">
        <f>ROUND(IF(AQ103="2",BI103,0),2)</f>
        <v>0</v>
      </c>
      <c r="AH103" s="51">
        <f>ROUND(IF(AQ103="0",BJ103,0),2)</f>
        <v>0</v>
      </c>
      <c r="AI103" s="35" t="s">
        <v>4</v>
      </c>
      <c r="AJ103" s="51">
        <f>IF(AN103=0,H103,0)</f>
        <v>0</v>
      </c>
      <c r="AK103" s="51">
        <f>IF(AN103=12,H103,0)</f>
        <v>0</v>
      </c>
      <c r="AL103" s="51">
        <f>IF(AN103=21,H103,0)</f>
        <v>0</v>
      </c>
      <c r="AN103" s="51">
        <v>12</v>
      </c>
      <c r="AO103" s="51">
        <f>G103*0</f>
        <v>0</v>
      </c>
      <c r="AP103" s="51">
        <f>G103*(1-0)</f>
        <v>0</v>
      </c>
      <c r="AQ103" s="53" t="s">
        <v>139</v>
      </c>
      <c r="AV103" s="51">
        <f>ROUND(AW103+AX103,2)</f>
        <v>0</v>
      </c>
      <c r="AW103" s="51">
        <f>ROUND(F103*AO103,2)</f>
        <v>0</v>
      </c>
      <c r="AX103" s="51">
        <f>ROUND(F103*AP103,2)</f>
        <v>0</v>
      </c>
      <c r="AY103" s="53" t="s">
        <v>263</v>
      </c>
      <c r="AZ103" s="53" t="s">
        <v>240</v>
      </c>
      <c r="BA103" s="35" t="s">
        <v>117</v>
      </c>
      <c r="BC103" s="51">
        <f>AW103+AX103</f>
        <v>0</v>
      </c>
      <c r="BD103" s="51">
        <f>G103/(100-BE103)*100</f>
        <v>0</v>
      </c>
      <c r="BE103" s="51">
        <v>0</v>
      </c>
      <c r="BF103" s="51">
        <f>103</f>
        <v>103</v>
      </c>
      <c r="BH103" s="51">
        <f>F103*AO103</f>
        <v>0</v>
      </c>
      <c r="BI103" s="51">
        <f>F103*AP103</f>
        <v>0</v>
      </c>
      <c r="BJ103" s="51">
        <f>F103*G103</f>
        <v>0</v>
      </c>
      <c r="BK103" s="53" t="s">
        <v>118</v>
      </c>
      <c r="BL103" s="51">
        <v>96</v>
      </c>
      <c r="BW103" s="51">
        <v>12</v>
      </c>
      <c r="BX103" s="3" t="s">
        <v>301</v>
      </c>
    </row>
    <row r="104" spans="1:76">
      <c r="A104" s="54"/>
      <c r="C104" s="56" t="s">
        <v>302</v>
      </c>
      <c r="D104" s="57" t="s">
        <v>4</v>
      </c>
      <c r="F104" s="58">
        <v>1.147</v>
      </c>
      <c r="J104" s="41"/>
    </row>
    <row r="105" spans="1:76">
      <c r="A105" s="1" t="s">
        <v>303</v>
      </c>
      <c r="B105" s="2" t="s">
        <v>304</v>
      </c>
      <c r="C105" s="75" t="s">
        <v>305</v>
      </c>
      <c r="D105" s="70"/>
      <c r="E105" s="2" t="s">
        <v>285</v>
      </c>
      <c r="F105" s="51">
        <v>0.16500000000000001</v>
      </c>
      <c r="G105" s="52">
        <v>0</v>
      </c>
      <c r="H105" s="51">
        <f>ROUND(F105*G105,2)</f>
        <v>0</v>
      </c>
      <c r="J105" s="41"/>
      <c r="Z105" s="51">
        <f>ROUND(IF(AQ105="5",BJ105,0),2)</f>
        <v>0</v>
      </c>
      <c r="AB105" s="51">
        <f>ROUND(IF(AQ105="1",BH105,0),2)</f>
        <v>0</v>
      </c>
      <c r="AC105" s="51">
        <f>ROUND(IF(AQ105="1",BI105,0),2)</f>
        <v>0</v>
      </c>
      <c r="AD105" s="51">
        <f>ROUND(IF(AQ105="7",BH105,0),2)</f>
        <v>0</v>
      </c>
      <c r="AE105" s="51">
        <f>ROUND(IF(AQ105="7",BI105,0),2)</f>
        <v>0</v>
      </c>
      <c r="AF105" s="51">
        <f>ROUND(IF(AQ105="2",BH105,0),2)</f>
        <v>0</v>
      </c>
      <c r="AG105" s="51">
        <f>ROUND(IF(AQ105="2",BI105,0),2)</f>
        <v>0</v>
      </c>
      <c r="AH105" s="51">
        <f>ROUND(IF(AQ105="0",BJ105,0),2)</f>
        <v>0</v>
      </c>
      <c r="AI105" s="35" t="s">
        <v>4</v>
      </c>
      <c r="AJ105" s="51">
        <f>IF(AN105=0,H105,0)</f>
        <v>0</v>
      </c>
      <c r="AK105" s="51">
        <f>IF(AN105=12,H105,0)</f>
        <v>0</v>
      </c>
      <c r="AL105" s="51">
        <f>IF(AN105=21,H105,0)</f>
        <v>0</v>
      </c>
      <c r="AN105" s="51">
        <v>12</v>
      </c>
      <c r="AO105" s="51">
        <f>G105*0</f>
        <v>0</v>
      </c>
      <c r="AP105" s="51">
        <f>G105*(1-0)</f>
        <v>0</v>
      </c>
      <c r="AQ105" s="53" t="s">
        <v>139</v>
      </c>
      <c r="AV105" s="51">
        <f>ROUND(AW105+AX105,2)</f>
        <v>0</v>
      </c>
      <c r="AW105" s="51">
        <f>ROUND(F105*AO105,2)</f>
        <v>0</v>
      </c>
      <c r="AX105" s="51">
        <f>ROUND(F105*AP105,2)</f>
        <v>0</v>
      </c>
      <c r="AY105" s="53" t="s">
        <v>263</v>
      </c>
      <c r="AZ105" s="53" t="s">
        <v>240</v>
      </c>
      <c r="BA105" s="35" t="s">
        <v>117</v>
      </c>
      <c r="BC105" s="51">
        <f>AW105+AX105</f>
        <v>0</v>
      </c>
      <c r="BD105" s="51">
        <f>G105/(100-BE105)*100</f>
        <v>0</v>
      </c>
      <c r="BE105" s="51">
        <v>0</v>
      </c>
      <c r="BF105" s="51">
        <f>105</f>
        <v>105</v>
      </c>
      <c r="BH105" s="51">
        <f>F105*AO105</f>
        <v>0</v>
      </c>
      <c r="BI105" s="51">
        <f>F105*AP105</f>
        <v>0</v>
      </c>
      <c r="BJ105" s="51">
        <f>F105*G105</f>
        <v>0</v>
      </c>
      <c r="BK105" s="53" t="s">
        <v>118</v>
      </c>
      <c r="BL105" s="51">
        <v>96</v>
      </c>
      <c r="BW105" s="51">
        <v>12</v>
      </c>
      <c r="BX105" s="3" t="s">
        <v>305</v>
      </c>
    </row>
    <row r="106" spans="1:76">
      <c r="A106" s="54"/>
      <c r="C106" s="56" t="s">
        <v>306</v>
      </c>
      <c r="D106" s="57" t="s">
        <v>307</v>
      </c>
      <c r="F106" s="58">
        <v>0.13200000000000001</v>
      </c>
      <c r="J106" s="41"/>
    </row>
    <row r="107" spans="1:76">
      <c r="A107" s="54"/>
      <c r="C107" s="56" t="s">
        <v>308</v>
      </c>
      <c r="D107" s="57" t="s">
        <v>309</v>
      </c>
      <c r="F107" s="58">
        <v>3.3000000000000002E-2</v>
      </c>
      <c r="J107" s="41"/>
    </row>
    <row r="108" spans="1:76">
      <c r="A108" s="47" t="s">
        <v>4</v>
      </c>
      <c r="B108" s="48" t="s">
        <v>310</v>
      </c>
      <c r="C108" s="150" t="s">
        <v>311</v>
      </c>
      <c r="D108" s="151"/>
      <c r="E108" s="49" t="s">
        <v>79</v>
      </c>
      <c r="F108" s="49" t="s">
        <v>79</v>
      </c>
      <c r="G108" s="50" t="s">
        <v>79</v>
      </c>
      <c r="H108" s="28">
        <f>SUM(H109:H109)</f>
        <v>0</v>
      </c>
      <c r="J108" s="41"/>
      <c r="AI108" s="35" t="s">
        <v>4</v>
      </c>
      <c r="AS108" s="28">
        <f>SUM(AJ109:AJ109)</f>
        <v>0</v>
      </c>
      <c r="AT108" s="28">
        <f>SUM(AK109:AK109)</f>
        <v>0</v>
      </c>
      <c r="AU108" s="28">
        <f>SUM(AL109:AL109)</f>
        <v>0</v>
      </c>
    </row>
    <row r="109" spans="1:76">
      <c r="A109" s="1" t="s">
        <v>312</v>
      </c>
      <c r="B109" s="2" t="s">
        <v>313</v>
      </c>
      <c r="C109" s="75" t="s">
        <v>314</v>
      </c>
      <c r="D109" s="70"/>
      <c r="E109" s="2" t="s">
        <v>285</v>
      </c>
      <c r="F109" s="51">
        <v>5.5419999999999998</v>
      </c>
      <c r="G109" s="52">
        <v>0</v>
      </c>
      <c r="H109" s="51">
        <f>ROUND(F109*G109,2)</f>
        <v>0</v>
      </c>
      <c r="J109" s="41"/>
      <c r="Z109" s="51">
        <f>ROUND(IF(AQ109="5",BJ109,0),2)</f>
        <v>0</v>
      </c>
      <c r="AB109" s="51">
        <f>ROUND(IF(AQ109="1",BH109,0),2)</f>
        <v>0</v>
      </c>
      <c r="AC109" s="51">
        <f>ROUND(IF(AQ109="1",BI109,0),2)</f>
        <v>0</v>
      </c>
      <c r="AD109" s="51">
        <f>ROUND(IF(AQ109="7",BH109,0),2)</f>
        <v>0</v>
      </c>
      <c r="AE109" s="51">
        <f>ROUND(IF(AQ109="7",BI109,0),2)</f>
        <v>0</v>
      </c>
      <c r="AF109" s="51">
        <f>ROUND(IF(AQ109="2",BH109,0),2)</f>
        <v>0</v>
      </c>
      <c r="AG109" s="51">
        <f>ROUND(IF(AQ109="2",BI109,0),2)</f>
        <v>0</v>
      </c>
      <c r="AH109" s="51">
        <f>ROUND(IF(AQ109="0",BJ109,0),2)</f>
        <v>0</v>
      </c>
      <c r="AI109" s="35" t="s">
        <v>4</v>
      </c>
      <c r="AJ109" s="51">
        <f>IF(AN109=0,H109,0)</f>
        <v>0</v>
      </c>
      <c r="AK109" s="51">
        <f>IF(AN109=12,H109,0)</f>
        <v>0</v>
      </c>
      <c r="AL109" s="51">
        <f>IF(AN109=21,H109,0)</f>
        <v>0</v>
      </c>
      <c r="AN109" s="51">
        <v>12</v>
      </c>
      <c r="AO109" s="51">
        <f>G109*0</f>
        <v>0</v>
      </c>
      <c r="AP109" s="51">
        <f>G109*(1-0)</f>
        <v>0</v>
      </c>
      <c r="AQ109" s="53" t="s">
        <v>139</v>
      </c>
      <c r="AV109" s="51">
        <f>ROUND(AW109+AX109,2)</f>
        <v>0</v>
      </c>
      <c r="AW109" s="51">
        <f>ROUND(F109*AO109,2)</f>
        <v>0</v>
      </c>
      <c r="AX109" s="51">
        <f>ROUND(F109*AP109,2)</f>
        <v>0</v>
      </c>
      <c r="AY109" s="53" t="s">
        <v>315</v>
      </c>
      <c r="AZ109" s="53" t="s">
        <v>240</v>
      </c>
      <c r="BA109" s="35" t="s">
        <v>117</v>
      </c>
      <c r="BC109" s="51">
        <f>AW109+AX109</f>
        <v>0</v>
      </c>
      <c r="BD109" s="51">
        <f>G109/(100-BE109)*100</f>
        <v>0</v>
      </c>
      <c r="BE109" s="51">
        <v>0</v>
      </c>
      <c r="BF109" s="51">
        <f>109</f>
        <v>109</v>
      </c>
      <c r="BH109" s="51">
        <f>F109*AO109</f>
        <v>0</v>
      </c>
      <c r="BI109" s="51">
        <f>F109*AP109</f>
        <v>0</v>
      </c>
      <c r="BJ109" s="51">
        <f>F109*G109</f>
        <v>0</v>
      </c>
      <c r="BK109" s="53" t="s">
        <v>118</v>
      </c>
      <c r="BL109" s="51">
        <v>99</v>
      </c>
      <c r="BW109" s="51">
        <v>12</v>
      </c>
      <c r="BX109" s="3" t="s">
        <v>314</v>
      </c>
    </row>
    <row r="110" spans="1:76">
      <c r="A110" s="47" t="s">
        <v>4</v>
      </c>
      <c r="B110" s="48" t="s">
        <v>316</v>
      </c>
      <c r="C110" s="150" t="s">
        <v>317</v>
      </c>
      <c r="D110" s="151"/>
      <c r="E110" s="49" t="s">
        <v>79</v>
      </c>
      <c r="F110" s="49" t="s">
        <v>79</v>
      </c>
      <c r="G110" s="50" t="s">
        <v>79</v>
      </c>
      <c r="H110" s="28">
        <f>SUM(H111:H121)</f>
        <v>0</v>
      </c>
      <c r="J110" s="41"/>
      <c r="AI110" s="35" t="s">
        <v>4</v>
      </c>
      <c r="AS110" s="28">
        <f>SUM(AJ111:AJ121)</f>
        <v>0</v>
      </c>
      <c r="AT110" s="28">
        <f>SUM(AK111:AK121)</f>
        <v>0</v>
      </c>
      <c r="AU110" s="28">
        <f>SUM(AL111:AL121)</f>
        <v>0</v>
      </c>
    </row>
    <row r="111" spans="1:76">
      <c r="A111" s="1" t="s">
        <v>318</v>
      </c>
      <c r="B111" s="2" t="s">
        <v>319</v>
      </c>
      <c r="C111" s="75" t="s">
        <v>320</v>
      </c>
      <c r="D111" s="70"/>
      <c r="E111" s="2" t="s">
        <v>124</v>
      </c>
      <c r="F111" s="51">
        <v>12.593</v>
      </c>
      <c r="G111" s="52">
        <v>0</v>
      </c>
      <c r="H111" s="51">
        <f>ROUND(F111*G111,2)</f>
        <v>0</v>
      </c>
      <c r="J111" s="41"/>
      <c r="Z111" s="51">
        <f>ROUND(IF(AQ111="5",BJ111,0),2)</f>
        <v>0</v>
      </c>
      <c r="AB111" s="51">
        <f>ROUND(IF(AQ111="1",BH111,0),2)</f>
        <v>0</v>
      </c>
      <c r="AC111" s="51">
        <f>ROUND(IF(AQ111="1",BI111,0),2)</f>
        <v>0</v>
      </c>
      <c r="AD111" s="51">
        <f>ROUND(IF(AQ111="7",BH111,0),2)</f>
        <v>0</v>
      </c>
      <c r="AE111" s="51">
        <f>ROUND(IF(AQ111="7",BI111,0),2)</f>
        <v>0</v>
      </c>
      <c r="AF111" s="51">
        <f>ROUND(IF(AQ111="2",BH111,0),2)</f>
        <v>0</v>
      </c>
      <c r="AG111" s="51">
        <f>ROUND(IF(AQ111="2",BI111,0),2)</f>
        <v>0</v>
      </c>
      <c r="AH111" s="51">
        <f>ROUND(IF(AQ111="0",BJ111,0),2)</f>
        <v>0</v>
      </c>
      <c r="AI111" s="35" t="s">
        <v>4</v>
      </c>
      <c r="AJ111" s="51">
        <f>IF(AN111=0,H111,0)</f>
        <v>0</v>
      </c>
      <c r="AK111" s="51">
        <f>IF(AN111=12,H111,0)</f>
        <v>0</v>
      </c>
      <c r="AL111" s="51">
        <f>IF(AN111=21,H111,0)</f>
        <v>0</v>
      </c>
      <c r="AN111" s="51">
        <v>12</v>
      </c>
      <c r="AO111" s="51">
        <f>G111*0.296160961</f>
        <v>0</v>
      </c>
      <c r="AP111" s="51">
        <f>G111*(1-0.296160961)</f>
        <v>0</v>
      </c>
      <c r="AQ111" s="53" t="s">
        <v>149</v>
      </c>
      <c r="AV111" s="51">
        <f>ROUND(AW111+AX111,2)</f>
        <v>0</v>
      </c>
      <c r="AW111" s="51">
        <f>ROUND(F111*AO111,2)</f>
        <v>0</v>
      </c>
      <c r="AX111" s="51">
        <f>ROUND(F111*AP111,2)</f>
        <v>0</v>
      </c>
      <c r="AY111" s="53" t="s">
        <v>321</v>
      </c>
      <c r="AZ111" s="53" t="s">
        <v>322</v>
      </c>
      <c r="BA111" s="35" t="s">
        <v>117</v>
      </c>
      <c r="BC111" s="51">
        <f>AW111+AX111</f>
        <v>0</v>
      </c>
      <c r="BD111" s="51">
        <f>G111/(100-BE111)*100</f>
        <v>0</v>
      </c>
      <c r="BE111" s="51">
        <v>0</v>
      </c>
      <c r="BF111" s="51">
        <f>111</f>
        <v>111</v>
      </c>
      <c r="BH111" s="51">
        <f>F111*AO111</f>
        <v>0</v>
      </c>
      <c r="BI111" s="51">
        <f>F111*AP111</f>
        <v>0</v>
      </c>
      <c r="BJ111" s="51">
        <f>F111*G111</f>
        <v>0</v>
      </c>
      <c r="BK111" s="53" t="s">
        <v>118</v>
      </c>
      <c r="BL111" s="51">
        <v>711</v>
      </c>
      <c r="BW111" s="51">
        <v>12</v>
      </c>
      <c r="BX111" s="3" t="s">
        <v>320</v>
      </c>
    </row>
    <row r="112" spans="1:76">
      <c r="A112" s="1" t="s">
        <v>323</v>
      </c>
      <c r="B112" s="2" t="s">
        <v>324</v>
      </c>
      <c r="C112" s="75" t="s">
        <v>325</v>
      </c>
      <c r="D112" s="70"/>
      <c r="E112" s="2" t="s">
        <v>124</v>
      </c>
      <c r="F112" s="51">
        <v>12.593</v>
      </c>
      <c r="G112" s="52">
        <v>0</v>
      </c>
      <c r="H112" s="51">
        <f>ROUND(F112*G112,2)</f>
        <v>0</v>
      </c>
      <c r="J112" s="41"/>
      <c r="Z112" s="51">
        <f>ROUND(IF(AQ112="5",BJ112,0),2)</f>
        <v>0</v>
      </c>
      <c r="AB112" s="51">
        <f>ROUND(IF(AQ112="1",BH112,0),2)</f>
        <v>0</v>
      </c>
      <c r="AC112" s="51">
        <f>ROUND(IF(AQ112="1",BI112,0),2)</f>
        <v>0</v>
      </c>
      <c r="AD112" s="51">
        <f>ROUND(IF(AQ112="7",BH112,0),2)</f>
        <v>0</v>
      </c>
      <c r="AE112" s="51">
        <f>ROUND(IF(AQ112="7",BI112,0),2)</f>
        <v>0</v>
      </c>
      <c r="AF112" s="51">
        <f>ROUND(IF(AQ112="2",BH112,0),2)</f>
        <v>0</v>
      </c>
      <c r="AG112" s="51">
        <f>ROUND(IF(AQ112="2",BI112,0),2)</f>
        <v>0</v>
      </c>
      <c r="AH112" s="51">
        <f>ROUND(IF(AQ112="0",BJ112,0),2)</f>
        <v>0</v>
      </c>
      <c r="AI112" s="35" t="s">
        <v>4</v>
      </c>
      <c r="AJ112" s="51">
        <f>IF(AN112=0,H112,0)</f>
        <v>0</v>
      </c>
      <c r="AK112" s="51">
        <f>IF(AN112=12,H112,0)</f>
        <v>0</v>
      </c>
      <c r="AL112" s="51">
        <f>IF(AN112=21,H112,0)</f>
        <v>0</v>
      </c>
      <c r="AN112" s="51">
        <v>12</v>
      </c>
      <c r="AO112" s="51">
        <f>G112*0.614857657</f>
        <v>0</v>
      </c>
      <c r="AP112" s="51">
        <f>G112*(1-0.614857657)</f>
        <v>0</v>
      </c>
      <c r="AQ112" s="53" t="s">
        <v>149</v>
      </c>
      <c r="AV112" s="51">
        <f>ROUND(AW112+AX112,2)</f>
        <v>0</v>
      </c>
      <c r="AW112" s="51">
        <f>ROUND(F112*AO112,2)</f>
        <v>0</v>
      </c>
      <c r="AX112" s="51">
        <f>ROUND(F112*AP112,2)</f>
        <v>0</v>
      </c>
      <c r="AY112" s="53" t="s">
        <v>321</v>
      </c>
      <c r="AZ112" s="53" t="s">
        <v>322</v>
      </c>
      <c r="BA112" s="35" t="s">
        <v>117</v>
      </c>
      <c r="BC112" s="51">
        <f>AW112+AX112</f>
        <v>0</v>
      </c>
      <c r="BD112" s="51">
        <f>G112/(100-BE112)*100</f>
        <v>0</v>
      </c>
      <c r="BE112" s="51">
        <v>0</v>
      </c>
      <c r="BF112" s="51">
        <f>112</f>
        <v>112</v>
      </c>
      <c r="BH112" s="51">
        <f>F112*AO112</f>
        <v>0</v>
      </c>
      <c r="BI112" s="51">
        <f>F112*AP112</f>
        <v>0</v>
      </c>
      <c r="BJ112" s="51">
        <f>F112*G112</f>
        <v>0</v>
      </c>
      <c r="BK112" s="53" t="s">
        <v>118</v>
      </c>
      <c r="BL112" s="51">
        <v>711</v>
      </c>
      <c r="BW112" s="51">
        <v>12</v>
      </c>
      <c r="BX112" s="3" t="s">
        <v>325</v>
      </c>
    </row>
    <row r="113" spans="1:76" ht="13.5" customHeight="1">
      <c r="A113" s="54"/>
      <c r="B113" s="55" t="s">
        <v>119</v>
      </c>
      <c r="C113" s="152" t="s">
        <v>326</v>
      </c>
      <c r="D113" s="153"/>
      <c r="E113" s="153"/>
      <c r="F113" s="153"/>
      <c r="G113" s="154"/>
      <c r="H113" s="153"/>
      <c r="I113" s="153"/>
      <c r="J113" s="155"/>
    </row>
    <row r="114" spans="1:76">
      <c r="A114" s="54"/>
      <c r="C114" s="56" t="s">
        <v>327</v>
      </c>
      <c r="D114" s="57" t="s">
        <v>328</v>
      </c>
      <c r="F114" s="58">
        <v>5.3719999999999999</v>
      </c>
      <c r="J114" s="41"/>
    </row>
    <row r="115" spans="1:76">
      <c r="A115" s="54"/>
      <c r="C115" s="56" t="s">
        <v>329</v>
      </c>
      <c r="D115" s="57" t="s">
        <v>330</v>
      </c>
      <c r="F115" s="58">
        <v>2.601</v>
      </c>
      <c r="J115" s="41"/>
    </row>
    <row r="116" spans="1:76">
      <c r="A116" s="54"/>
      <c r="C116" s="56" t="s">
        <v>331</v>
      </c>
      <c r="D116" s="57" t="s">
        <v>332</v>
      </c>
      <c r="F116" s="58">
        <v>4.62</v>
      </c>
      <c r="J116" s="41"/>
    </row>
    <row r="117" spans="1:76">
      <c r="A117" s="1" t="s">
        <v>333</v>
      </c>
      <c r="B117" s="2" t="s">
        <v>334</v>
      </c>
      <c r="C117" s="75" t="s">
        <v>335</v>
      </c>
      <c r="D117" s="70"/>
      <c r="E117" s="2" t="s">
        <v>146</v>
      </c>
      <c r="F117" s="51">
        <v>10.77</v>
      </c>
      <c r="G117" s="52">
        <v>0</v>
      </c>
      <c r="H117" s="51">
        <f>ROUND(F117*G117,2)</f>
        <v>0</v>
      </c>
      <c r="J117" s="41"/>
      <c r="Z117" s="51">
        <f>ROUND(IF(AQ117="5",BJ117,0),2)</f>
        <v>0</v>
      </c>
      <c r="AB117" s="51">
        <f>ROUND(IF(AQ117="1",BH117,0),2)</f>
        <v>0</v>
      </c>
      <c r="AC117" s="51">
        <f>ROUND(IF(AQ117="1",BI117,0),2)</f>
        <v>0</v>
      </c>
      <c r="AD117" s="51">
        <f>ROUND(IF(AQ117="7",BH117,0),2)</f>
        <v>0</v>
      </c>
      <c r="AE117" s="51">
        <f>ROUND(IF(AQ117="7",BI117,0),2)</f>
        <v>0</v>
      </c>
      <c r="AF117" s="51">
        <f>ROUND(IF(AQ117="2",BH117,0),2)</f>
        <v>0</v>
      </c>
      <c r="AG117" s="51">
        <f>ROUND(IF(AQ117="2",BI117,0),2)</f>
        <v>0</v>
      </c>
      <c r="AH117" s="51">
        <f>ROUND(IF(AQ117="0",BJ117,0),2)</f>
        <v>0</v>
      </c>
      <c r="AI117" s="35" t="s">
        <v>4</v>
      </c>
      <c r="AJ117" s="51">
        <f>IF(AN117=0,H117,0)</f>
        <v>0</v>
      </c>
      <c r="AK117" s="51">
        <f>IF(AN117=12,H117,0)</f>
        <v>0</v>
      </c>
      <c r="AL117" s="51">
        <f>IF(AN117=21,H117,0)</f>
        <v>0</v>
      </c>
      <c r="AN117" s="51">
        <v>12</v>
      </c>
      <c r="AO117" s="51">
        <f>G117*0.644057353</f>
        <v>0</v>
      </c>
      <c r="AP117" s="51">
        <f>G117*(1-0.644057353)</f>
        <v>0</v>
      </c>
      <c r="AQ117" s="53" t="s">
        <v>149</v>
      </c>
      <c r="AV117" s="51">
        <f>ROUND(AW117+AX117,2)</f>
        <v>0</v>
      </c>
      <c r="AW117" s="51">
        <f>ROUND(F117*AO117,2)</f>
        <v>0</v>
      </c>
      <c r="AX117" s="51">
        <f>ROUND(F117*AP117,2)</f>
        <v>0</v>
      </c>
      <c r="AY117" s="53" t="s">
        <v>321</v>
      </c>
      <c r="AZ117" s="53" t="s">
        <v>322</v>
      </c>
      <c r="BA117" s="35" t="s">
        <v>117</v>
      </c>
      <c r="BC117" s="51">
        <f>AW117+AX117</f>
        <v>0</v>
      </c>
      <c r="BD117" s="51">
        <f>G117/(100-BE117)*100</f>
        <v>0</v>
      </c>
      <c r="BE117" s="51">
        <v>0</v>
      </c>
      <c r="BF117" s="51">
        <f>117</f>
        <v>117</v>
      </c>
      <c r="BH117" s="51">
        <f>F117*AO117</f>
        <v>0</v>
      </c>
      <c r="BI117" s="51">
        <f>F117*AP117</f>
        <v>0</v>
      </c>
      <c r="BJ117" s="51">
        <f>F117*G117</f>
        <v>0</v>
      </c>
      <c r="BK117" s="53" t="s">
        <v>118</v>
      </c>
      <c r="BL117" s="51">
        <v>711</v>
      </c>
      <c r="BW117" s="51">
        <v>12</v>
      </c>
      <c r="BX117" s="3" t="s">
        <v>335</v>
      </c>
    </row>
    <row r="118" spans="1:76" ht="13.5" customHeight="1">
      <c r="A118" s="54"/>
      <c r="B118" s="55" t="s">
        <v>119</v>
      </c>
      <c r="C118" s="152" t="s">
        <v>336</v>
      </c>
      <c r="D118" s="153"/>
      <c r="E118" s="153"/>
      <c r="F118" s="153"/>
      <c r="G118" s="154"/>
      <c r="H118" s="153"/>
      <c r="I118" s="153"/>
      <c r="J118" s="155"/>
    </row>
    <row r="119" spans="1:76">
      <c r="A119" s="54"/>
      <c r="C119" s="56" t="s">
        <v>337</v>
      </c>
      <c r="D119" s="57" t="s">
        <v>338</v>
      </c>
      <c r="F119" s="58">
        <v>8.67</v>
      </c>
      <c r="J119" s="41"/>
    </row>
    <row r="120" spans="1:76">
      <c r="A120" s="54"/>
      <c r="C120" s="56" t="s">
        <v>339</v>
      </c>
      <c r="D120" s="57" t="s">
        <v>340</v>
      </c>
      <c r="F120" s="58">
        <v>2.1</v>
      </c>
      <c r="J120" s="41"/>
    </row>
    <row r="121" spans="1:76">
      <c r="A121" s="1" t="s">
        <v>341</v>
      </c>
      <c r="B121" s="2" t="s">
        <v>342</v>
      </c>
      <c r="C121" s="75" t="s">
        <v>343</v>
      </c>
      <c r="D121" s="70"/>
      <c r="E121" s="2" t="s">
        <v>285</v>
      </c>
      <c r="F121" s="51">
        <v>4.9000000000000002E-2</v>
      </c>
      <c r="G121" s="52">
        <v>0</v>
      </c>
      <c r="H121" s="51">
        <f>ROUND(F121*G121,2)</f>
        <v>0</v>
      </c>
      <c r="J121" s="41"/>
      <c r="Z121" s="51">
        <f>ROUND(IF(AQ121="5",BJ121,0),2)</f>
        <v>0</v>
      </c>
      <c r="AB121" s="51">
        <f>ROUND(IF(AQ121="1",BH121,0),2)</f>
        <v>0</v>
      </c>
      <c r="AC121" s="51">
        <f>ROUND(IF(AQ121="1",BI121,0),2)</f>
        <v>0</v>
      </c>
      <c r="AD121" s="51">
        <f>ROUND(IF(AQ121="7",BH121,0),2)</f>
        <v>0</v>
      </c>
      <c r="AE121" s="51">
        <f>ROUND(IF(AQ121="7",BI121,0),2)</f>
        <v>0</v>
      </c>
      <c r="AF121" s="51">
        <f>ROUND(IF(AQ121="2",BH121,0),2)</f>
        <v>0</v>
      </c>
      <c r="AG121" s="51">
        <f>ROUND(IF(AQ121="2",BI121,0),2)</f>
        <v>0</v>
      </c>
      <c r="AH121" s="51">
        <f>ROUND(IF(AQ121="0",BJ121,0),2)</f>
        <v>0</v>
      </c>
      <c r="AI121" s="35" t="s">
        <v>4</v>
      </c>
      <c r="AJ121" s="51">
        <f>IF(AN121=0,H121,0)</f>
        <v>0</v>
      </c>
      <c r="AK121" s="51">
        <f>IF(AN121=12,H121,0)</f>
        <v>0</v>
      </c>
      <c r="AL121" s="51">
        <f>IF(AN121=21,H121,0)</f>
        <v>0</v>
      </c>
      <c r="AN121" s="51">
        <v>12</v>
      </c>
      <c r="AO121" s="51">
        <f>G121*0</f>
        <v>0</v>
      </c>
      <c r="AP121" s="51">
        <f>G121*(1-0)</f>
        <v>0</v>
      </c>
      <c r="AQ121" s="53" t="s">
        <v>139</v>
      </c>
      <c r="AV121" s="51">
        <f>ROUND(AW121+AX121,2)</f>
        <v>0</v>
      </c>
      <c r="AW121" s="51">
        <f>ROUND(F121*AO121,2)</f>
        <v>0</v>
      </c>
      <c r="AX121" s="51">
        <f>ROUND(F121*AP121,2)</f>
        <v>0</v>
      </c>
      <c r="AY121" s="53" t="s">
        <v>321</v>
      </c>
      <c r="AZ121" s="53" t="s">
        <v>322</v>
      </c>
      <c r="BA121" s="35" t="s">
        <v>117</v>
      </c>
      <c r="BC121" s="51">
        <f>AW121+AX121</f>
        <v>0</v>
      </c>
      <c r="BD121" s="51">
        <f>G121/(100-BE121)*100</f>
        <v>0</v>
      </c>
      <c r="BE121" s="51">
        <v>0</v>
      </c>
      <c r="BF121" s="51">
        <f>121</f>
        <v>121</v>
      </c>
      <c r="BH121" s="51">
        <f>F121*AO121</f>
        <v>0</v>
      </c>
      <c r="BI121" s="51">
        <f>F121*AP121</f>
        <v>0</v>
      </c>
      <c r="BJ121" s="51">
        <f>F121*G121</f>
        <v>0</v>
      </c>
      <c r="BK121" s="53" t="s">
        <v>118</v>
      </c>
      <c r="BL121" s="51">
        <v>711</v>
      </c>
      <c r="BW121" s="51">
        <v>12</v>
      </c>
      <c r="BX121" s="3" t="s">
        <v>343</v>
      </c>
    </row>
    <row r="122" spans="1:76">
      <c r="A122" s="47" t="s">
        <v>4</v>
      </c>
      <c r="B122" s="48" t="s">
        <v>344</v>
      </c>
      <c r="C122" s="150" t="s">
        <v>345</v>
      </c>
      <c r="D122" s="151"/>
      <c r="E122" s="49" t="s">
        <v>79</v>
      </c>
      <c r="F122" s="49" t="s">
        <v>79</v>
      </c>
      <c r="G122" s="50" t="s">
        <v>79</v>
      </c>
      <c r="H122" s="28">
        <f>SUM(H123:H132)</f>
        <v>0</v>
      </c>
      <c r="J122" s="41"/>
      <c r="AI122" s="35" t="s">
        <v>4</v>
      </c>
      <c r="AS122" s="28">
        <f>SUM(AJ123:AJ132)</f>
        <v>0</v>
      </c>
      <c r="AT122" s="28">
        <f>SUM(AK123:AK132)</f>
        <v>0</v>
      </c>
      <c r="AU122" s="28">
        <f>SUM(AL123:AL132)</f>
        <v>0</v>
      </c>
    </row>
    <row r="123" spans="1:76" ht="25.5">
      <c r="A123" s="1" t="s">
        <v>346</v>
      </c>
      <c r="B123" s="2" t="s">
        <v>347</v>
      </c>
      <c r="C123" s="75" t="s">
        <v>348</v>
      </c>
      <c r="D123" s="70"/>
      <c r="E123" s="2" t="s">
        <v>114</v>
      </c>
      <c r="F123" s="51">
        <v>1</v>
      </c>
      <c r="G123" s="52">
        <v>0</v>
      </c>
      <c r="H123" s="51">
        <f t="shared" ref="H123:H132" si="0">ROUND(F123*G123,2)</f>
        <v>0</v>
      </c>
      <c r="J123" s="41"/>
      <c r="Z123" s="51">
        <f t="shared" ref="Z123:Z132" si="1">ROUND(IF(AQ123="5",BJ123,0),2)</f>
        <v>0</v>
      </c>
      <c r="AB123" s="51">
        <f t="shared" ref="AB123:AB132" si="2">ROUND(IF(AQ123="1",BH123,0),2)</f>
        <v>0</v>
      </c>
      <c r="AC123" s="51">
        <f t="shared" ref="AC123:AC132" si="3">ROUND(IF(AQ123="1",BI123,0),2)</f>
        <v>0</v>
      </c>
      <c r="AD123" s="51">
        <f t="shared" ref="AD123:AD132" si="4">ROUND(IF(AQ123="7",BH123,0),2)</f>
        <v>0</v>
      </c>
      <c r="AE123" s="51">
        <f t="shared" ref="AE123:AE132" si="5">ROUND(IF(AQ123="7",BI123,0),2)</f>
        <v>0</v>
      </c>
      <c r="AF123" s="51">
        <f t="shared" ref="AF123:AF132" si="6">ROUND(IF(AQ123="2",BH123,0),2)</f>
        <v>0</v>
      </c>
      <c r="AG123" s="51">
        <f t="shared" ref="AG123:AG132" si="7">ROUND(IF(AQ123="2",BI123,0),2)</f>
        <v>0</v>
      </c>
      <c r="AH123" s="51">
        <f t="shared" ref="AH123:AH132" si="8">ROUND(IF(AQ123="0",BJ123,0),2)</f>
        <v>0</v>
      </c>
      <c r="AI123" s="35" t="s">
        <v>4</v>
      </c>
      <c r="AJ123" s="51">
        <f t="shared" ref="AJ123:AJ132" si="9">IF(AN123=0,H123,0)</f>
        <v>0</v>
      </c>
      <c r="AK123" s="51">
        <f t="shared" ref="AK123:AK132" si="10">IF(AN123=12,H123,0)</f>
        <v>0</v>
      </c>
      <c r="AL123" s="51">
        <f t="shared" ref="AL123:AL132" si="11">IF(AN123=21,H123,0)</f>
        <v>0</v>
      </c>
      <c r="AN123" s="51">
        <v>12</v>
      </c>
      <c r="AO123" s="51">
        <f>G123*0.781812121</f>
        <v>0</v>
      </c>
      <c r="AP123" s="51">
        <f>G123*(1-0.781812121)</f>
        <v>0</v>
      </c>
      <c r="AQ123" s="53" t="s">
        <v>149</v>
      </c>
      <c r="AV123" s="51">
        <f t="shared" ref="AV123:AV132" si="12">ROUND(AW123+AX123,2)</f>
        <v>0</v>
      </c>
      <c r="AW123" s="51">
        <f t="shared" ref="AW123:AW132" si="13">ROUND(F123*AO123,2)</f>
        <v>0</v>
      </c>
      <c r="AX123" s="51">
        <f t="shared" ref="AX123:AX132" si="14">ROUND(F123*AP123,2)</f>
        <v>0</v>
      </c>
      <c r="AY123" s="53" t="s">
        <v>349</v>
      </c>
      <c r="AZ123" s="53" t="s">
        <v>350</v>
      </c>
      <c r="BA123" s="35" t="s">
        <v>117</v>
      </c>
      <c r="BC123" s="51">
        <f t="shared" ref="BC123:BC132" si="15">AW123+AX123</f>
        <v>0</v>
      </c>
      <c r="BD123" s="51">
        <f t="shared" ref="BD123:BD132" si="16">G123/(100-BE123)*100</f>
        <v>0</v>
      </c>
      <c r="BE123" s="51">
        <v>0</v>
      </c>
      <c r="BF123" s="51">
        <f>123</f>
        <v>123</v>
      </c>
      <c r="BH123" s="51">
        <f t="shared" ref="BH123:BH132" si="17">F123*AO123</f>
        <v>0</v>
      </c>
      <c r="BI123" s="51">
        <f t="shared" ref="BI123:BI132" si="18">F123*AP123</f>
        <v>0</v>
      </c>
      <c r="BJ123" s="51">
        <f t="shared" ref="BJ123:BJ132" si="19">F123*G123</f>
        <v>0</v>
      </c>
      <c r="BK123" s="53" t="s">
        <v>118</v>
      </c>
      <c r="BL123" s="51">
        <v>721</v>
      </c>
      <c r="BW123" s="51">
        <v>12</v>
      </c>
      <c r="BX123" s="3" t="s">
        <v>348</v>
      </c>
    </row>
    <row r="124" spans="1:76">
      <c r="A124" s="1" t="s">
        <v>351</v>
      </c>
      <c r="B124" s="2" t="s">
        <v>352</v>
      </c>
      <c r="C124" s="75" t="s">
        <v>353</v>
      </c>
      <c r="D124" s="70"/>
      <c r="E124" s="2" t="s">
        <v>146</v>
      </c>
      <c r="F124" s="51">
        <v>7.8</v>
      </c>
      <c r="G124" s="52">
        <v>0</v>
      </c>
      <c r="H124" s="51">
        <f t="shared" si="0"/>
        <v>0</v>
      </c>
      <c r="J124" s="41"/>
      <c r="Z124" s="51">
        <f t="shared" si="1"/>
        <v>0</v>
      </c>
      <c r="AB124" s="51">
        <f t="shared" si="2"/>
        <v>0</v>
      </c>
      <c r="AC124" s="51">
        <f t="shared" si="3"/>
        <v>0</v>
      </c>
      <c r="AD124" s="51">
        <f t="shared" si="4"/>
        <v>0</v>
      </c>
      <c r="AE124" s="51">
        <f t="shared" si="5"/>
        <v>0</v>
      </c>
      <c r="AF124" s="51">
        <f t="shared" si="6"/>
        <v>0</v>
      </c>
      <c r="AG124" s="51">
        <f t="shared" si="7"/>
        <v>0</v>
      </c>
      <c r="AH124" s="51">
        <f t="shared" si="8"/>
        <v>0</v>
      </c>
      <c r="AI124" s="35" t="s">
        <v>4</v>
      </c>
      <c r="AJ124" s="51">
        <f t="shared" si="9"/>
        <v>0</v>
      </c>
      <c r="AK124" s="51">
        <f t="shared" si="10"/>
        <v>0</v>
      </c>
      <c r="AL124" s="51">
        <f t="shared" si="11"/>
        <v>0</v>
      </c>
      <c r="AN124" s="51">
        <v>12</v>
      </c>
      <c r="AO124" s="51">
        <f>G124*0.268268845</f>
        <v>0</v>
      </c>
      <c r="AP124" s="51">
        <f>G124*(1-0.268268845)</f>
        <v>0</v>
      </c>
      <c r="AQ124" s="53" t="s">
        <v>149</v>
      </c>
      <c r="AV124" s="51">
        <f t="shared" si="12"/>
        <v>0</v>
      </c>
      <c r="AW124" s="51">
        <f t="shared" si="13"/>
        <v>0</v>
      </c>
      <c r="AX124" s="51">
        <f t="shared" si="14"/>
        <v>0</v>
      </c>
      <c r="AY124" s="53" t="s">
        <v>349</v>
      </c>
      <c r="AZ124" s="53" t="s">
        <v>350</v>
      </c>
      <c r="BA124" s="35" t="s">
        <v>117</v>
      </c>
      <c r="BC124" s="51">
        <f t="shared" si="15"/>
        <v>0</v>
      </c>
      <c r="BD124" s="51">
        <f t="shared" si="16"/>
        <v>0</v>
      </c>
      <c r="BE124" s="51">
        <v>0</v>
      </c>
      <c r="BF124" s="51">
        <f>124</f>
        <v>124</v>
      </c>
      <c r="BH124" s="51">
        <f t="shared" si="17"/>
        <v>0</v>
      </c>
      <c r="BI124" s="51">
        <f t="shared" si="18"/>
        <v>0</v>
      </c>
      <c r="BJ124" s="51">
        <f t="shared" si="19"/>
        <v>0</v>
      </c>
      <c r="BK124" s="53" t="s">
        <v>118</v>
      </c>
      <c r="BL124" s="51">
        <v>721</v>
      </c>
      <c r="BW124" s="51">
        <v>12</v>
      </c>
      <c r="BX124" s="3" t="s">
        <v>353</v>
      </c>
    </row>
    <row r="125" spans="1:76">
      <c r="A125" s="1" t="s">
        <v>354</v>
      </c>
      <c r="B125" s="2" t="s">
        <v>355</v>
      </c>
      <c r="C125" s="75" t="s">
        <v>356</v>
      </c>
      <c r="D125" s="70"/>
      <c r="E125" s="2" t="s">
        <v>146</v>
      </c>
      <c r="F125" s="51">
        <v>1.8</v>
      </c>
      <c r="G125" s="52">
        <v>0</v>
      </c>
      <c r="H125" s="51">
        <f t="shared" si="0"/>
        <v>0</v>
      </c>
      <c r="J125" s="41"/>
      <c r="Z125" s="51">
        <f t="shared" si="1"/>
        <v>0</v>
      </c>
      <c r="AB125" s="51">
        <f t="shared" si="2"/>
        <v>0</v>
      </c>
      <c r="AC125" s="51">
        <f t="shared" si="3"/>
        <v>0</v>
      </c>
      <c r="AD125" s="51">
        <f t="shared" si="4"/>
        <v>0</v>
      </c>
      <c r="AE125" s="51">
        <f t="shared" si="5"/>
        <v>0</v>
      </c>
      <c r="AF125" s="51">
        <f t="shared" si="6"/>
        <v>0</v>
      </c>
      <c r="AG125" s="51">
        <f t="shared" si="7"/>
        <v>0</v>
      </c>
      <c r="AH125" s="51">
        <f t="shared" si="8"/>
        <v>0</v>
      </c>
      <c r="AI125" s="35" t="s">
        <v>4</v>
      </c>
      <c r="AJ125" s="51">
        <f t="shared" si="9"/>
        <v>0</v>
      </c>
      <c r="AK125" s="51">
        <f t="shared" si="10"/>
        <v>0</v>
      </c>
      <c r="AL125" s="51">
        <f t="shared" si="11"/>
        <v>0</v>
      </c>
      <c r="AN125" s="51">
        <v>12</v>
      </c>
      <c r="AO125" s="51">
        <f>G125*0.244082569</f>
        <v>0</v>
      </c>
      <c r="AP125" s="51">
        <f>G125*(1-0.244082569)</f>
        <v>0</v>
      </c>
      <c r="AQ125" s="53" t="s">
        <v>149</v>
      </c>
      <c r="AV125" s="51">
        <f t="shared" si="12"/>
        <v>0</v>
      </c>
      <c r="AW125" s="51">
        <f t="shared" si="13"/>
        <v>0</v>
      </c>
      <c r="AX125" s="51">
        <f t="shared" si="14"/>
        <v>0</v>
      </c>
      <c r="AY125" s="53" t="s">
        <v>349</v>
      </c>
      <c r="AZ125" s="53" t="s">
        <v>350</v>
      </c>
      <c r="BA125" s="35" t="s">
        <v>117</v>
      </c>
      <c r="BC125" s="51">
        <f t="shared" si="15"/>
        <v>0</v>
      </c>
      <c r="BD125" s="51">
        <f t="shared" si="16"/>
        <v>0</v>
      </c>
      <c r="BE125" s="51">
        <v>0</v>
      </c>
      <c r="BF125" s="51">
        <f>125</f>
        <v>125</v>
      </c>
      <c r="BH125" s="51">
        <f t="shared" si="17"/>
        <v>0</v>
      </c>
      <c r="BI125" s="51">
        <f t="shared" si="18"/>
        <v>0</v>
      </c>
      <c r="BJ125" s="51">
        <f t="shared" si="19"/>
        <v>0</v>
      </c>
      <c r="BK125" s="53" t="s">
        <v>118</v>
      </c>
      <c r="BL125" s="51">
        <v>721</v>
      </c>
      <c r="BW125" s="51">
        <v>12</v>
      </c>
      <c r="BX125" s="3" t="s">
        <v>356</v>
      </c>
    </row>
    <row r="126" spans="1:76">
      <c r="A126" s="1" t="s">
        <v>357</v>
      </c>
      <c r="B126" s="2" t="s">
        <v>358</v>
      </c>
      <c r="C126" s="75" t="s">
        <v>359</v>
      </c>
      <c r="D126" s="70"/>
      <c r="E126" s="2" t="s">
        <v>146</v>
      </c>
      <c r="F126" s="51">
        <v>0.5</v>
      </c>
      <c r="G126" s="52">
        <v>0</v>
      </c>
      <c r="H126" s="51">
        <f t="shared" si="0"/>
        <v>0</v>
      </c>
      <c r="J126" s="41"/>
      <c r="Z126" s="51">
        <f t="shared" si="1"/>
        <v>0</v>
      </c>
      <c r="AB126" s="51">
        <f t="shared" si="2"/>
        <v>0</v>
      </c>
      <c r="AC126" s="51">
        <f t="shared" si="3"/>
        <v>0</v>
      </c>
      <c r="AD126" s="51">
        <f t="shared" si="4"/>
        <v>0</v>
      </c>
      <c r="AE126" s="51">
        <f t="shared" si="5"/>
        <v>0</v>
      </c>
      <c r="AF126" s="51">
        <f t="shared" si="6"/>
        <v>0</v>
      </c>
      <c r="AG126" s="51">
        <f t="shared" si="7"/>
        <v>0</v>
      </c>
      <c r="AH126" s="51">
        <f t="shared" si="8"/>
        <v>0</v>
      </c>
      <c r="AI126" s="35" t="s">
        <v>4</v>
      </c>
      <c r="AJ126" s="51">
        <f t="shared" si="9"/>
        <v>0</v>
      </c>
      <c r="AK126" s="51">
        <f t="shared" si="10"/>
        <v>0</v>
      </c>
      <c r="AL126" s="51">
        <f t="shared" si="11"/>
        <v>0</v>
      </c>
      <c r="AN126" s="51">
        <v>12</v>
      </c>
      <c r="AO126" s="51">
        <f>G126*0.349406286</f>
        <v>0</v>
      </c>
      <c r="AP126" s="51">
        <f>G126*(1-0.349406286)</f>
        <v>0</v>
      </c>
      <c r="AQ126" s="53" t="s">
        <v>149</v>
      </c>
      <c r="AV126" s="51">
        <f t="shared" si="12"/>
        <v>0</v>
      </c>
      <c r="AW126" s="51">
        <f t="shared" si="13"/>
        <v>0</v>
      </c>
      <c r="AX126" s="51">
        <f t="shared" si="14"/>
        <v>0</v>
      </c>
      <c r="AY126" s="53" t="s">
        <v>349</v>
      </c>
      <c r="AZ126" s="53" t="s">
        <v>350</v>
      </c>
      <c r="BA126" s="35" t="s">
        <v>117</v>
      </c>
      <c r="BC126" s="51">
        <f t="shared" si="15"/>
        <v>0</v>
      </c>
      <c r="BD126" s="51">
        <f t="shared" si="16"/>
        <v>0</v>
      </c>
      <c r="BE126" s="51">
        <v>0</v>
      </c>
      <c r="BF126" s="51">
        <f>126</f>
        <v>126</v>
      </c>
      <c r="BH126" s="51">
        <f t="shared" si="17"/>
        <v>0</v>
      </c>
      <c r="BI126" s="51">
        <f t="shared" si="18"/>
        <v>0</v>
      </c>
      <c r="BJ126" s="51">
        <f t="shared" si="19"/>
        <v>0</v>
      </c>
      <c r="BK126" s="53" t="s">
        <v>118</v>
      </c>
      <c r="BL126" s="51">
        <v>721</v>
      </c>
      <c r="BW126" s="51">
        <v>12</v>
      </c>
      <c r="BX126" s="3" t="s">
        <v>359</v>
      </c>
    </row>
    <row r="127" spans="1:76">
      <c r="A127" s="1" t="s">
        <v>360</v>
      </c>
      <c r="B127" s="2" t="s">
        <v>361</v>
      </c>
      <c r="C127" s="75" t="s">
        <v>362</v>
      </c>
      <c r="D127" s="70"/>
      <c r="E127" s="2" t="s">
        <v>114</v>
      </c>
      <c r="F127" s="51">
        <v>4</v>
      </c>
      <c r="G127" s="52">
        <v>0</v>
      </c>
      <c r="H127" s="51">
        <f t="shared" si="0"/>
        <v>0</v>
      </c>
      <c r="J127" s="41"/>
      <c r="Z127" s="51">
        <f t="shared" si="1"/>
        <v>0</v>
      </c>
      <c r="AB127" s="51">
        <f t="shared" si="2"/>
        <v>0</v>
      </c>
      <c r="AC127" s="51">
        <f t="shared" si="3"/>
        <v>0</v>
      </c>
      <c r="AD127" s="51">
        <f t="shared" si="4"/>
        <v>0</v>
      </c>
      <c r="AE127" s="51">
        <f t="shared" si="5"/>
        <v>0</v>
      </c>
      <c r="AF127" s="51">
        <f t="shared" si="6"/>
        <v>0</v>
      </c>
      <c r="AG127" s="51">
        <f t="shared" si="7"/>
        <v>0</v>
      </c>
      <c r="AH127" s="51">
        <f t="shared" si="8"/>
        <v>0</v>
      </c>
      <c r="AI127" s="35" t="s">
        <v>4</v>
      </c>
      <c r="AJ127" s="51">
        <f t="shared" si="9"/>
        <v>0</v>
      </c>
      <c r="AK127" s="51">
        <f t="shared" si="10"/>
        <v>0</v>
      </c>
      <c r="AL127" s="51">
        <f t="shared" si="11"/>
        <v>0</v>
      </c>
      <c r="AN127" s="51">
        <v>12</v>
      </c>
      <c r="AO127" s="51">
        <f>G127*0</f>
        <v>0</v>
      </c>
      <c r="AP127" s="51">
        <f>G127*(1-0)</f>
        <v>0</v>
      </c>
      <c r="AQ127" s="53" t="s">
        <v>149</v>
      </c>
      <c r="AV127" s="51">
        <f t="shared" si="12"/>
        <v>0</v>
      </c>
      <c r="AW127" s="51">
        <f t="shared" si="13"/>
        <v>0</v>
      </c>
      <c r="AX127" s="51">
        <f t="shared" si="14"/>
        <v>0</v>
      </c>
      <c r="AY127" s="53" t="s">
        <v>349</v>
      </c>
      <c r="AZ127" s="53" t="s">
        <v>350</v>
      </c>
      <c r="BA127" s="35" t="s">
        <v>117</v>
      </c>
      <c r="BC127" s="51">
        <f t="shared" si="15"/>
        <v>0</v>
      </c>
      <c r="BD127" s="51">
        <f t="shared" si="16"/>
        <v>0</v>
      </c>
      <c r="BE127" s="51">
        <v>0</v>
      </c>
      <c r="BF127" s="51">
        <f>127</f>
        <v>127</v>
      </c>
      <c r="BH127" s="51">
        <f t="shared" si="17"/>
        <v>0</v>
      </c>
      <c r="BI127" s="51">
        <f t="shared" si="18"/>
        <v>0</v>
      </c>
      <c r="BJ127" s="51">
        <f t="shared" si="19"/>
        <v>0</v>
      </c>
      <c r="BK127" s="53" t="s">
        <v>118</v>
      </c>
      <c r="BL127" s="51">
        <v>721</v>
      </c>
      <c r="BW127" s="51">
        <v>12</v>
      </c>
      <c r="BX127" s="3" t="s">
        <v>362</v>
      </c>
    </row>
    <row r="128" spans="1:76">
      <c r="A128" s="1" t="s">
        <v>363</v>
      </c>
      <c r="B128" s="2" t="s">
        <v>364</v>
      </c>
      <c r="C128" s="75" t="s">
        <v>365</v>
      </c>
      <c r="D128" s="70"/>
      <c r="E128" s="2" t="s">
        <v>114</v>
      </c>
      <c r="F128" s="51">
        <v>1</v>
      </c>
      <c r="G128" s="52">
        <v>0</v>
      </c>
      <c r="H128" s="51">
        <f t="shared" si="0"/>
        <v>0</v>
      </c>
      <c r="J128" s="41"/>
      <c r="Z128" s="51">
        <f t="shared" si="1"/>
        <v>0</v>
      </c>
      <c r="AB128" s="51">
        <f t="shared" si="2"/>
        <v>0</v>
      </c>
      <c r="AC128" s="51">
        <f t="shared" si="3"/>
        <v>0</v>
      </c>
      <c r="AD128" s="51">
        <f t="shared" si="4"/>
        <v>0</v>
      </c>
      <c r="AE128" s="51">
        <f t="shared" si="5"/>
        <v>0</v>
      </c>
      <c r="AF128" s="51">
        <f t="shared" si="6"/>
        <v>0</v>
      </c>
      <c r="AG128" s="51">
        <f t="shared" si="7"/>
        <v>0</v>
      </c>
      <c r="AH128" s="51">
        <f t="shared" si="8"/>
        <v>0</v>
      </c>
      <c r="AI128" s="35" t="s">
        <v>4</v>
      </c>
      <c r="AJ128" s="51">
        <f t="shared" si="9"/>
        <v>0</v>
      </c>
      <c r="AK128" s="51">
        <f t="shared" si="10"/>
        <v>0</v>
      </c>
      <c r="AL128" s="51">
        <f t="shared" si="11"/>
        <v>0</v>
      </c>
      <c r="AN128" s="51">
        <v>12</v>
      </c>
      <c r="AO128" s="51">
        <f>G128*0</f>
        <v>0</v>
      </c>
      <c r="AP128" s="51">
        <f>G128*(1-0)</f>
        <v>0</v>
      </c>
      <c r="AQ128" s="53" t="s">
        <v>149</v>
      </c>
      <c r="AV128" s="51">
        <f t="shared" si="12"/>
        <v>0</v>
      </c>
      <c r="AW128" s="51">
        <f t="shared" si="13"/>
        <v>0</v>
      </c>
      <c r="AX128" s="51">
        <f t="shared" si="14"/>
        <v>0</v>
      </c>
      <c r="AY128" s="53" t="s">
        <v>349</v>
      </c>
      <c r="AZ128" s="53" t="s">
        <v>350</v>
      </c>
      <c r="BA128" s="35" t="s">
        <v>117</v>
      </c>
      <c r="BC128" s="51">
        <f t="shared" si="15"/>
        <v>0</v>
      </c>
      <c r="BD128" s="51">
        <f t="shared" si="16"/>
        <v>0</v>
      </c>
      <c r="BE128" s="51">
        <v>0</v>
      </c>
      <c r="BF128" s="51">
        <f>128</f>
        <v>128</v>
      </c>
      <c r="BH128" s="51">
        <f t="shared" si="17"/>
        <v>0</v>
      </c>
      <c r="BI128" s="51">
        <f t="shared" si="18"/>
        <v>0</v>
      </c>
      <c r="BJ128" s="51">
        <f t="shared" si="19"/>
        <v>0</v>
      </c>
      <c r="BK128" s="53" t="s">
        <v>118</v>
      </c>
      <c r="BL128" s="51">
        <v>721</v>
      </c>
      <c r="BW128" s="51">
        <v>12</v>
      </c>
      <c r="BX128" s="3" t="s">
        <v>365</v>
      </c>
    </row>
    <row r="129" spans="1:76">
      <c r="A129" s="1" t="s">
        <v>366</v>
      </c>
      <c r="B129" s="2" t="s">
        <v>367</v>
      </c>
      <c r="C129" s="75" t="s">
        <v>368</v>
      </c>
      <c r="D129" s="70"/>
      <c r="E129" s="2" t="s">
        <v>146</v>
      </c>
      <c r="F129" s="51">
        <v>9.6</v>
      </c>
      <c r="G129" s="52">
        <v>0</v>
      </c>
      <c r="H129" s="51">
        <f t="shared" si="0"/>
        <v>0</v>
      </c>
      <c r="J129" s="41"/>
      <c r="Z129" s="51">
        <f t="shared" si="1"/>
        <v>0</v>
      </c>
      <c r="AB129" s="51">
        <f t="shared" si="2"/>
        <v>0</v>
      </c>
      <c r="AC129" s="51">
        <f t="shared" si="3"/>
        <v>0</v>
      </c>
      <c r="AD129" s="51">
        <f t="shared" si="4"/>
        <v>0</v>
      </c>
      <c r="AE129" s="51">
        <f t="shared" si="5"/>
        <v>0</v>
      </c>
      <c r="AF129" s="51">
        <f t="shared" si="6"/>
        <v>0</v>
      </c>
      <c r="AG129" s="51">
        <f t="shared" si="7"/>
        <v>0</v>
      </c>
      <c r="AH129" s="51">
        <f t="shared" si="8"/>
        <v>0</v>
      </c>
      <c r="AI129" s="35" t="s">
        <v>4</v>
      </c>
      <c r="AJ129" s="51">
        <f t="shared" si="9"/>
        <v>0</v>
      </c>
      <c r="AK129" s="51">
        <f t="shared" si="10"/>
        <v>0</v>
      </c>
      <c r="AL129" s="51">
        <f t="shared" si="11"/>
        <v>0</v>
      </c>
      <c r="AN129" s="51">
        <v>12</v>
      </c>
      <c r="AO129" s="51">
        <f>G129*0</f>
        <v>0</v>
      </c>
      <c r="AP129" s="51">
        <f>G129*(1-0)</f>
        <v>0</v>
      </c>
      <c r="AQ129" s="53" t="s">
        <v>121</v>
      </c>
      <c r="AV129" s="51">
        <f t="shared" si="12"/>
        <v>0</v>
      </c>
      <c r="AW129" s="51">
        <f t="shared" si="13"/>
        <v>0</v>
      </c>
      <c r="AX129" s="51">
        <f t="shared" si="14"/>
        <v>0</v>
      </c>
      <c r="AY129" s="53" t="s">
        <v>349</v>
      </c>
      <c r="AZ129" s="53" t="s">
        <v>350</v>
      </c>
      <c r="BA129" s="35" t="s">
        <v>117</v>
      </c>
      <c r="BC129" s="51">
        <f t="shared" si="15"/>
        <v>0</v>
      </c>
      <c r="BD129" s="51">
        <f t="shared" si="16"/>
        <v>0</v>
      </c>
      <c r="BE129" s="51">
        <v>0</v>
      </c>
      <c r="BF129" s="51">
        <f>129</f>
        <v>129</v>
      </c>
      <c r="BH129" s="51">
        <f t="shared" si="17"/>
        <v>0</v>
      </c>
      <c r="BI129" s="51">
        <f t="shared" si="18"/>
        <v>0</v>
      </c>
      <c r="BJ129" s="51">
        <f t="shared" si="19"/>
        <v>0</v>
      </c>
      <c r="BK129" s="53" t="s">
        <v>118</v>
      </c>
      <c r="BL129" s="51">
        <v>721</v>
      </c>
      <c r="BW129" s="51">
        <v>12</v>
      </c>
      <c r="BX129" s="3" t="s">
        <v>368</v>
      </c>
    </row>
    <row r="130" spans="1:76">
      <c r="A130" s="1" t="s">
        <v>369</v>
      </c>
      <c r="B130" s="2" t="s">
        <v>370</v>
      </c>
      <c r="C130" s="75" t="s">
        <v>371</v>
      </c>
      <c r="D130" s="70"/>
      <c r="E130" s="2" t="s">
        <v>146</v>
      </c>
      <c r="F130" s="51">
        <v>9.6</v>
      </c>
      <c r="G130" s="52">
        <v>0</v>
      </c>
      <c r="H130" s="51">
        <f t="shared" si="0"/>
        <v>0</v>
      </c>
      <c r="J130" s="41"/>
      <c r="Z130" s="51">
        <f t="shared" si="1"/>
        <v>0</v>
      </c>
      <c r="AB130" s="51">
        <f t="shared" si="2"/>
        <v>0</v>
      </c>
      <c r="AC130" s="51">
        <f t="shared" si="3"/>
        <v>0</v>
      </c>
      <c r="AD130" s="51">
        <f t="shared" si="4"/>
        <v>0</v>
      </c>
      <c r="AE130" s="51">
        <f t="shared" si="5"/>
        <v>0</v>
      </c>
      <c r="AF130" s="51">
        <f t="shared" si="6"/>
        <v>0</v>
      </c>
      <c r="AG130" s="51">
        <f t="shared" si="7"/>
        <v>0</v>
      </c>
      <c r="AH130" s="51">
        <f t="shared" si="8"/>
        <v>0</v>
      </c>
      <c r="AI130" s="35" t="s">
        <v>4</v>
      </c>
      <c r="AJ130" s="51">
        <f t="shared" si="9"/>
        <v>0</v>
      </c>
      <c r="AK130" s="51">
        <f t="shared" si="10"/>
        <v>0</v>
      </c>
      <c r="AL130" s="51">
        <f t="shared" si="11"/>
        <v>0</v>
      </c>
      <c r="AN130" s="51">
        <v>12</v>
      </c>
      <c r="AO130" s="51">
        <f>G130*0.026019394</f>
        <v>0</v>
      </c>
      <c r="AP130" s="51">
        <f>G130*(1-0.026019394)</f>
        <v>0</v>
      </c>
      <c r="AQ130" s="53" t="s">
        <v>149</v>
      </c>
      <c r="AV130" s="51">
        <f t="shared" si="12"/>
        <v>0</v>
      </c>
      <c r="AW130" s="51">
        <f t="shared" si="13"/>
        <v>0</v>
      </c>
      <c r="AX130" s="51">
        <f t="shared" si="14"/>
        <v>0</v>
      </c>
      <c r="AY130" s="53" t="s">
        <v>349</v>
      </c>
      <c r="AZ130" s="53" t="s">
        <v>350</v>
      </c>
      <c r="BA130" s="35" t="s">
        <v>117</v>
      </c>
      <c r="BC130" s="51">
        <f t="shared" si="15"/>
        <v>0</v>
      </c>
      <c r="BD130" s="51">
        <f t="shared" si="16"/>
        <v>0</v>
      </c>
      <c r="BE130" s="51">
        <v>0</v>
      </c>
      <c r="BF130" s="51">
        <f>130</f>
        <v>130</v>
      </c>
      <c r="BH130" s="51">
        <f t="shared" si="17"/>
        <v>0</v>
      </c>
      <c r="BI130" s="51">
        <f t="shared" si="18"/>
        <v>0</v>
      </c>
      <c r="BJ130" s="51">
        <f t="shared" si="19"/>
        <v>0</v>
      </c>
      <c r="BK130" s="53" t="s">
        <v>118</v>
      </c>
      <c r="BL130" s="51">
        <v>721</v>
      </c>
      <c r="BW130" s="51">
        <v>12</v>
      </c>
      <c r="BX130" s="3" t="s">
        <v>371</v>
      </c>
    </row>
    <row r="131" spans="1:76">
      <c r="A131" s="1" t="s">
        <v>372</v>
      </c>
      <c r="B131" s="2" t="s">
        <v>373</v>
      </c>
      <c r="C131" s="75" t="s">
        <v>374</v>
      </c>
      <c r="D131" s="70"/>
      <c r="E131" s="2" t="s">
        <v>146</v>
      </c>
      <c r="F131" s="51">
        <v>0.5</v>
      </c>
      <c r="G131" s="52">
        <v>0</v>
      </c>
      <c r="H131" s="51">
        <f t="shared" si="0"/>
        <v>0</v>
      </c>
      <c r="J131" s="41"/>
      <c r="Z131" s="51">
        <f t="shared" si="1"/>
        <v>0</v>
      </c>
      <c r="AB131" s="51">
        <f t="shared" si="2"/>
        <v>0</v>
      </c>
      <c r="AC131" s="51">
        <f t="shared" si="3"/>
        <v>0</v>
      </c>
      <c r="AD131" s="51">
        <f t="shared" si="4"/>
        <v>0</v>
      </c>
      <c r="AE131" s="51">
        <f t="shared" si="5"/>
        <v>0</v>
      </c>
      <c r="AF131" s="51">
        <f t="shared" si="6"/>
        <v>0</v>
      </c>
      <c r="AG131" s="51">
        <f t="shared" si="7"/>
        <v>0</v>
      </c>
      <c r="AH131" s="51">
        <f t="shared" si="8"/>
        <v>0</v>
      </c>
      <c r="AI131" s="35" t="s">
        <v>4</v>
      </c>
      <c r="AJ131" s="51">
        <f t="shared" si="9"/>
        <v>0</v>
      </c>
      <c r="AK131" s="51">
        <f t="shared" si="10"/>
        <v>0</v>
      </c>
      <c r="AL131" s="51">
        <f t="shared" si="11"/>
        <v>0</v>
      </c>
      <c r="AN131" s="51">
        <v>12</v>
      </c>
      <c r="AO131" s="51">
        <f>G131*0.325048309</f>
        <v>0</v>
      </c>
      <c r="AP131" s="51">
        <f>G131*(1-0.325048309)</f>
        <v>0</v>
      </c>
      <c r="AQ131" s="53" t="s">
        <v>149</v>
      </c>
      <c r="AV131" s="51">
        <f t="shared" si="12"/>
        <v>0</v>
      </c>
      <c r="AW131" s="51">
        <f t="shared" si="13"/>
        <v>0</v>
      </c>
      <c r="AX131" s="51">
        <f t="shared" si="14"/>
        <v>0</v>
      </c>
      <c r="AY131" s="53" t="s">
        <v>349</v>
      </c>
      <c r="AZ131" s="53" t="s">
        <v>350</v>
      </c>
      <c r="BA131" s="35" t="s">
        <v>117</v>
      </c>
      <c r="BC131" s="51">
        <f t="shared" si="15"/>
        <v>0</v>
      </c>
      <c r="BD131" s="51">
        <f t="shared" si="16"/>
        <v>0</v>
      </c>
      <c r="BE131" s="51">
        <v>0</v>
      </c>
      <c r="BF131" s="51">
        <f>131</f>
        <v>131</v>
      </c>
      <c r="BH131" s="51">
        <f t="shared" si="17"/>
        <v>0</v>
      </c>
      <c r="BI131" s="51">
        <f t="shared" si="18"/>
        <v>0</v>
      </c>
      <c r="BJ131" s="51">
        <f t="shared" si="19"/>
        <v>0</v>
      </c>
      <c r="BK131" s="53" t="s">
        <v>118</v>
      </c>
      <c r="BL131" s="51">
        <v>721</v>
      </c>
      <c r="BW131" s="51">
        <v>12</v>
      </c>
      <c r="BX131" s="3" t="s">
        <v>374</v>
      </c>
    </row>
    <row r="132" spans="1:76">
      <c r="A132" s="1" t="s">
        <v>375</v>
      </c>
      <c r="B132" s="2" t="s">
        <v>376</v>
      </c>
      <c r="C132" s="75" t="s">
        <v>377</v>
      </c>
      <c r="D132" s="70"/>
      <c r="E132" s="2" t="s">
        <v>285</v>
      </c>
      <c r="F132" s="51">
        <v>0.05</v>
      </c>
      <c r="G132" s="52">
        <v>0</v>
      </c>
      <c r="H132" s="51">
        <f t="shared" si="0"/>
        <v>0</v>
      </c>
      <c r="J132" s="41"/>
      <c r="Z132" s="51">
        <f t="shared" si="1"/>
        <v>0</v>
      </c>
      <c r="AB132" s="51">
        <f t="shared" si="2"/>
        <v>0</v>
      </c>
      <c r="AC132" s="51">
        <f t="shared" si="3"/>
        <v>0</v>
      </c>
      <c r="AD132" s="51">
        <f t="shared" si="4"/>
        <v>0</v>
      </c>
      <c r="AE132" s="51">
        <f t="shared" si="5"/>
        <v>0</v>
      </c>
      <c r="AF132" s="51">
        <f t="shared" si="6"/>
        <v>0</v>
      </c>
      <c r="AG132" s="51">
        <f t="shared" si="7"/>
        <v>0</v>
      </c>
      <c r="AH132" s="51">
        <f t="shared" si="8"/>
        <v>0</v>
      </c>
      <c r="AI132" s="35" t="s">
        <v>4</v>
      </c>
      <c r="AJ132" s="51">
        <f t="shared" si="9"/>
        <v>0</v>
      </c>
      <c r="AK132" s="51">
        <f t="shared" si="10"/>
        <v>0</v>
      </c>
      <c r="AL132" s="51">
        <f t="shared" si="11"/>
        <v>0</v>
      </c>
      <c r="AN132" s="51">
        <v>12</v>
      </c>
      <c r="AO132" s="51">
        <f>G132*0</f>
        <v>0</v>
      </c>
      <c r="AP132" s="51">
        <f>G132*(1-0)</f>
        <v>0</v>
      </c>
      <c r="AQ132" s="53" t="s">
        <v>139</v>
      </c>
      <c r="AV132" s="51">
        <f t="shared" si="12"/>
        <v>0</v>
      </c>
      <c r="AW132" s="51">
        <f t="shared" si="13"/>
        <v>0</v>
      </c>
      <c r="AX132" s="51">
        <f t="shared" si="14"/>
        <v>0</v>
      </c>
      <c r="AY132" s="53" t="s">
        <v>349</v>
      </c>
      <c r="AZ132" s="53" t="s">
        <v>350</v>
      </c>
      <c r="BA132" s="35" t="s">
        <v>117</v>
      </c>
      <c r="BC132" s="51">
        <f t="shared" si="15"/>
        <v>0</v>
      </c>
      <c r="BD132" s="51">
        <f t="shared" si="16"/>
        <v>0</v>
      </c>
      <c r="BE132" s="51">
        <v>0</v>
      </c>
      <c r="BF132" s="51">
        <f>132</f>
        <v>132</v>
      </c>
      <c r="BH132" s="51">
        <f t="shared" si="17"/>
        <v>0</v>
      </c>
      <c r="BI132" s="51">
        <f t="shared" si="18"/>
        <v>0</v>
      </c>
      <c r="BJ132" s="51">
        <f t="shared" si="19"/>
        <v>0</v>
      </c>
      <c r="BK132" s="53" t="s">
        <v>118</v>
      </c>
      <c r="BL132" s="51">
        <v>721</v>
      </c>
      <c r="BW132" s="51">
        <v>12</v>
      </c>
      <c r="BX132" s="3" t="s">
        <v>377</v>
      </c>
    </row>
    <row r="133" spans="1:76">
      <c r="A133" s="47" t="s">
        <v>4</v>
      </c>
      <c r="B133" s="48" t="s">
        <v>378</v>
      </c>
      <c r="C133" s="150" t="s">
        <v>379</v>
      </c>
      <c r="D133" s="151"/>
      <c r="E133" s="49" t="s">
        <v>79</v>
      </c>
      <c r="F133" s="49" t="s">
        <v>79</v>
      </c>
      <c r="G133" s="50" t="s">
        <v>79</v>
      </c>
      <c r="H133" s="28">
        <f>SUM(H134:H144)</f>
        <v>0</v>
      </c>
      <c r="J133" s="41"/>
      <c r="AI133" s="35" t="s">
        <v>4</v>
      </c>
      <c r="AS133" s="28">
        <f>SUM(AJ134:AJ144)</f>
        <v>0</v>
      </c>
      <c r="AT133" s="28">
        <f>SUM(AK134:AK144)</f>
        <v>0</v>
      </c>
      <c r="AU133" s="28">
        <f>SUM(AL134:AL144)</f>
        <v>0</v>
      </c>
    </row>
    <row r="134" spans="1:76">
      <c r="A134" s="1" t="s">
        <v>380</v>
      </c>
      <c r="B134" s="2" t="s">
        <v>381</v>
      </c>
      <c r="C134" s="75" t="s">
        <v>382</v>
      </c>
      <c r="D134" s="70"/>
      <c r="E134" s="2" t="s">
        <v>114</v>
      </c>
      <c r="F134" s="51">
        <v>2</v>
      </c>
      <c r="G134" s="52">
        <v>0</v>
      </c>
      <c r="H134" s="51">
        <f t="shared" ref="H134:H139" si="20">ROUND(F134*G134,2)</f>
        <v>0</v>
      </c>
      <c r="J134" s="41"/>
      <c r="Z134" s="51">
        <f t="shared" ref="Z134:Z139" si="21">ROUND(IF(AQ134="5",BJ134,0),2)</f>
        <v>0</v>
      </c>
      <c r="AB134" s="51">
        <f t="shared" ref="AB134:AB139" si="22">ROUND(IF(AQ134="1",BH134,0),2)</f>
        <v>0</v>
      </c>
      <c r="AC134" s="51">
        <f t="shared" ref="AC134:AC139" si="23">ROUND(IF(AQ134="1",BI134,0),2)</f>
        <v>0</v>
      </c>
      <c r="AD134" s="51">
        <f t="shared" ref="AD134:AD139" si="24">ROUND(IF(AQ134="7",BH134,0),2)</f>
        <v>0</v>
      </c>
      <c r="AE134" s="51">
        <f t="shared" ref="AE134:AE139" si="25">ROUND(IF(AQ134="7",BI134,0),2)</f>
        <v>0</v>
      </c>
      <c r="AF134" s="51">
        <f t="shared" ref="AF134:AF139" si="26">ROUND(IF(AQ134="2",BH134,0),2)</f>
        <v>0</v>
      </c>
      <c r="AG134" s="51">
        <f t="shared" ref="AG134:AG139" si="27">ROUND(IF(AQ134="2",BI134,0),2)</f>
        <v>0</v>
      </c>
      <c r="AH134" s="51">
        <f t="shared" ref="AH134:AH139" si="28">ROUND(IF(AQ134="0",BJ134,0),2)</f>
        <v>0</v>
      </c>
      <c r="AI134" s="35" t="s">
        <v>4</v>
      </c>
      <c r="AJ134" s="51">
        <f t="shared" ref="AJ134:AJ139" si="29">IF(AN134=0,H134,0)</f>
        <v>0</v>
      </c>
      <c r="AK134" s="51">
        <f t="shared" ref="AK134:AK139" si="30">IF(AN134=12,H134,0)</f>
        <v>0</v>
      </c>
      <c r="AL134" s="51">
        <f t="shared" ref="AL134:AL139" si="31">IF(AN134=21,H134,0)</f>
        <v>0</v>
      </c>
      <c r="AN134" s="51">
        <v>12</v>
      </c>
      <c r="AO134" s="51">
        <f>G134*0</f>
        <v>0</v>
      </c>
      <c r="AP134" s="51">
        <f>G134*(1-0)</f>
        <v>0</v>
      </c>
      <c r="AQ134" s="53" t="s">
        <v>149</v>
      </c>
      <c r="AV134" s="51">
        <f t="shared" ref="AV134:AV139" si="32">ROUND(AW134+AX134,2)</f>
        <v>0</v>
      </c>
      <c r="AW134" s="51">
        <f t="shared" ref="AW134:AW139" si="33">ROUND(F134*AO134,2)</f>
        <v>0</v>
      </c>
      <c r="AX134" s="51">
        <f t="shared" ref="AX134:AX139" si="34">ROUND(F134*AP134,2)</f>
        <v>0</v>
      </c>
      <c r="AY134" s="53" t="s">
        <v>383</v>
      </c>
      <c r="AZ134" s="53" t="s">
        <v>350</v>
      </c>
      <c r="BA134" s="35" t="s">
        <v>117</v>
      </c>
      <c r="BC134" s="51">
        <f t="shared" ref="BC134:BC139" si="35">AW134+AX134</f>
        <v>0</v>
      </c>
      <c r="BD134" s="51">
        <f t="shared" ref="BD134:BD139" si="36">G134/(100-BE134)*100</f>
        <v>0</v>
      </c>
      <c r="BE134" s="51">
        <v>0</v>
      </c>
      <c r="BF134" s="51">
        <f>134</f>
        <v>134</v>
      </c>
      <c r="BH134" s="51">
        <f t="shared" ref="BH134:BH139" si="37">F134*AO134</f>
        <v>0</v>
      </c>
      <c r="BI134" s="51">
        <f t="shared" ref="BI134:BI139" si="38">F134*AP134</f>
        <v>0</v>
      </c>
      <c r="BJ134" s="51">
        <f t="shared" ref="BJ134:BJ139" si="39">F134*G134</f>
        <v>0</v>
      </c>
      <c r="BK134" s="53" t="s">
        <v>118</v>
      </c>
      <c r="BL134" s="51">
        <v>722</v>
      </c>
      <c r="BW134" s="51">
        <v>12</v>
      </c>
      <c r="BX134" s="3" t="s">
        <v>382</v>
      </c>
    </row>
    <row r="135" spans="1:76">
      <c r="A135" s="1" t="s">
        <v>384</v>
      </c>
      <c r="B135" s="2" t="s">
        <v>385</v>
      </c>
      <c r="C135" s="75" t="s">
        <v>386</v>
      </c>
      <c r="D135" s="70"/>
      <c r="E135" s="2" t="s">
        <v>114</v>
      </c>
      <c r="F135" s="51">
        <v>2</v>
      </c>
      <c r="G135" s="52">
        <v>0</v>
      </c>
      <c r="H135" s="51">
        <f t="shared" si="20"/>
        <v>0</v>
      </c>
      <c r="J135" s="41"/>
      <c r="Z135" s="51">
        <f t="shared" si="21"/>
        <v>0</v>
      </c>
      <c r="AB135" s="51">
        <f t="shared" si="22"/>
        <v>0</v>
      </c>
      <c r="AC135" s="51">
        <f t="shared" si="23"/>
        <v>0</v>
      </c>
      <c r="AD135" s="51">
        <f t="shared" si="24"/>
        <v>0</v>
      </c>
      <c r="AE135" s="51">
        <f t="shared" si="25"/>
        <v>0</v>
      </c>
      <c r="AF135" s="51">
        <f t="shared" si="26"/>
        <v>0</v>
      </c>
      <c r="AG135" s="51">
        <f t="shared" si="27"/>
        <v>0</v>
      </c>
      <c r="AH135" s="51">
        <f t="shared" si="28"/>
        <v>0</v>
      </c>
      <c r="AI135" s="35" t="s">
        <v>4</v>
      </c>
      <c r="AJ135" s="51">
        <f t="shared" si="29"/>
        <v>0</v>
      </c>
      <c r="AK135" s="51">
        <f t="shared" si="30"/>
        <v>0</v>
      </c>
      <c r="AL135" s="51">
        <f t="shared" si="31"/>
        <v>0</v>
      </c>
      <c r="AN135" s="51">
        <v>12</v>
      </c>
      <c r="AO135" s="51">
        <f>G135*0.032072072</f>
        <v>0</v>
      </c>
      <c r="AP135" s="51">
        <f>G135*(1-0.032072072)</f>
        <v>0</v>
      </c>
      <c r="AQ135" s="53" t="s">
        <v>149</v>
      </c>
      <c r="AV135" s="51">
        <f t="shared" si="32"/>
        <v>0</v>
      </c>
      <c r="AW135" s="51">
        <f t="shared" si="33"/>
        <v>0</v>
      </c>
      <c r="AX135" s="51">
        <f t="shared" si="34"/>
        <v>0</v>
      </c>
      <c r="AY135" s="53" t="s">
        <v>383</v>
      </c>
      <c r="AZ135" s="53" t="s">
        <v>350</v>
      </c>
      <c r="BA135" s="35" t="s">
        <v>117</v>
      </c>
      <c r="BC135" s="51">
        <f t="shared" si="35"/>
        <v>0</v>
      </c>
      <c r="BD135" s="51">
        <f t="shared" si="36"/>
        <v>0</v>
      </c>
      <c r="BE135" s="51">
        <v>0</v>
      </c>
      <c r="BF135" s="51">
        <f>135</f>
        <v>135</v>
      </c>
      <c r="BH135" s="51">
        <f t="shared" si="37"/>
        <v>0</v>
      </c>
      <c r="BI135" s="51">
        <f t="shared" si="38"/>
        <v>0</v>
      </c>
      <c r="BJ135" s="51">
        <f t="shared" si="39"/>
        <v>0</v>
      </c>
      <c r="BK135" s="53" t="s">
        <v>118</v>
      </c>
      <c r="BL135" s="51">
        <v>722</v>
      </c>
      <c r="BW135" s="51">
        <v>12</v>
      </c>
      <c r="BX135" s="3" t="s">
        <v>386</v>
      </c>
    </row>
    <row r="136" spans="1:76">
      <c r="A136" s="1" t="s">
        <v>387</v>
      </c>
      <c r="B136" s="2" t="s">
        <v>388</v>
      </c>
      <c r="C136" s="75" t="s">
        <v>389</v>
      </c>
      <c r="D136" s="70"/>
      <c r="E136" s="2" t="s">
        <v>146</v>
      </c>
      <c r="F136" s="51">
        <v>12.5</v>
      </c>
      <c r="G136" s="52">
        <v>0</v>
      </c>
      <c r="H136" s="51">
        <f t="shared" si="20"/>
        <v>0</v>
      </c>
      <c r="J136" s="41"/>
      <c r="Z136" s="51">
        <f t="shared" si="21"/>
        <v>0</v>
      </c>
      <c r="AB136" s="51">
        <f t="shared" si="22"/>
        <v>0</v>
      </c>
      <c r="AC136" s="51">
        <f t="shared" si="23"/>
        <v>0</v>
      </c>
      <c r="AD136" s="51">
        <f t="shared" si="24"/>
        <v>0</v>
      </c>
      <c r="AE136" s="51">
        <f t="shared" si="25"/>
        <v>0</v>
      </c>
      <c r="AF136" s="51">
        <f t="shared" si="26"/>
        <v>0</v>
      </c>
      <c r="AG136" s="51">
        <f t="shared" si="27"/>
        <v>0</v>
      </c>
      <c r="AH136" s="51">
        <f t="shared" si="28"/>
        <v>0</v>
      </c>
      <c r="AI136" s="35" t="s">
        <v>4</v>
      </c>
      <c r="AJ136" s="51">
        <f t="shared" si="29"/>
        <v>0</v>
      </c>
      <c r="AK136" s="51">
        <f t="shared" si="30"/>
        <v>0</v>
      </c>
      <c r="AL136" s="51">
        <f t="shared" si="31"/>
        <v>0</v>
      </c>
      <c r="AN136" s="51">
        <v>12</v>
      </c>
      <c r="AO136" s="51">
        <f>G136*0.322584814</f>
        <v>0</v>
      </c>
      <c r="AP136" s="51">
        <f>G136*(1-0.322584814)</f>
        <v>0</v>
      </c>
      <c r="AQ136" s="53" t="s">
        <v>149</v>
      </c>
      <c r="AV136" s="51">
        <f t="shared" si="32"/>
        <v>0</v>
      </c>
      <c r="AW136" s="51">
        <f t="shared" si="33"/>
        <v>0</v>
      </c>
      <c r="AX136" s="51">
        <f t="shared" si="34"/>
        <v>0</v>
      </c>
      <c r="AY136" s="53" t="s">
        <v>383</v>
      </c>
      <c r="AZ136" s="53" t="s">
        <v>350</v>
      </c>
      <c r="BA136" s="35" t="s">
        <v>117</v>
      </c>
      <c r="BC136" s="51">
        <f t="shared" si="35"/>
        <v>0</v>
      </c>
      <c r="BD136" s="51">
        <f t="shared" si="36"/>
        <v>0</v>
      </c>
      <c r="BE136" s="51">
        <v>0</v>
      </c>
      <c r="BF136" s="51">
        <f>136</f>
        <v>136</v>
      </c>
      <c r="BH136" s="51">
        <f t="shared" si="37"/>
        <v>0</v>
      </c>
      <c r="BI136" s="51">
        <f t="shared" si="38"/>
        <v>0</v>
      </c>
      <c r="BJ136" s="51">
        <f t="shared" si="39"/>
        <v>0</v>
      </c>
      <c r="BK136" s="53" t="s">
        <v>118</v>
      </c>
      <c r="BL136" s="51">
        <v>722</v>
      </c>
      <c r="BW136" s="51">
        <v>12</v>
      </c>
      <c r="BX136" s="3" t="s">
        <v>389</v>
      </c>
    </row>
    <row r="137" spans="1:76">
      <c r="A137" s="1" t="s">
        <v>390</v>
      </c>
      <c r="B137" s="2" t="s">
        <v>391</v>
      </c>
      <c r="C137" s="75" t="s">
        <v>392</v>
      </c>
      <c r="D137" s="70"/>
      <c r="E137" s="2" t="s">
        <v>114</v>
      </c>
      <c r="F137" s="51">
        <v>2</v>
      </c>
      <c r="G137" s="52">
        <v>0</v>
      </c>
      <c r="H137" s="51">
        <f t="shared" si="20"/>
        <v>0</v>
      </c>
      <c r="J137" s="41"/>
      <c r="Z137" s="51">
        <f t="shared" si="21"/>
        <v>0</v>
      </c>
      <c r="AB137" s="51">
        <f t="shared" si="22"/>
        <v>0</v>
      </c>
      <c r="AC137" s="51">
        <f t="shared" si="23"/>
        <v>0</v>
      </c>
      <c r="AD137" s="51">
        <f t="shared" si="24"/>
        <v>0</v>
      </c>
      <c r="AE137" s="51">
        <f t="shared" si="25"/>
        <v>0</v>
      </c>
      <c r="AF137" s="51">
        <f t="shared" si="26"/>
        <v>0</v>
      </c>
      <c r="AG137" s="51">
        <f t="shared" si="27"/>
        <v>0</v>
      </c>
      <c r="AH137" s="51">
        <f t="shared" si="28"/>
        <v>0</v>
      </c>
      <c r="AI137" s="35" t="s">
        <v>4</v>
      </c>
      <c r="AJ137" s="51">
        <f t="shared" si="29"/>
        <v>0</v>
      </c>
      <c r="AK137" s="51">
        <f t="shared" si="30"/>
        <v>0</v>
      </c>
      <c r="AL137" s="51">
        <f t="shared" si="31"/>
        <v>0</v>
      </c>
      <c r="AN137" s="51">
        <v>12</v>
      </c>
      <c r="AO137" s="51">
        <f>G137*0.497966616</f>
        <v>0</v>
      </c>
      <c r="AP137" s="51">
        <f>G137*(1-0.497966616)</f>
        <v>0</v>
      </c>
      <c r="AQ137" s="53" t="s">
        <v>149</v>
      </c>
      <c r="AV137" s="51">
        <f t="shared" si="32"/>
        <v>0</v>
      </c>
      <c r="AW137" s="51">
        <f t="shared" si="33"/>
        <v>0</v>
      </c>
      <c r="AX137" s="51">
        <f t="shared" si="34"/>
        <v>0</v>
      </c>
      <c r="AY137" s="53" t="s">
        <v>383</v>
      </c>
      <c r="AZ137" s="53" t="s">
        <v>350</v>
      </c>
      <c r="BA137" s="35" t="s">
        <v>117</v>
      </c>
      <c r="BC137" s="51">
        <f t="shared" si="35"/>
        <v>0</v>
      </c>
      <c r="BD137" s="51">
        <f t="shared" si="36"/>
        <v>0</v>
      </c>
      <c r="BE137" s="51">
        <v>0</v>
      </c>
      <c r="BF137" s="51">
        <f>137</f>
        <v>137</v>
      </c>
      <c r="BH137" s="51">
        <f t="shared" si="37"/>
        <v>0</v>
      </c>
      <c r="BI137" s="51">
        <f t="shared" si="38"/>
        <v>0</v>
      </c>
      <c r="BJ137" s="51">
        <f t="shared" si="39"/>
        <v>0</v>
      </c>
      <c r="BK137" s="53" t="s">
        <v>118</v>
      </c>
      <c r="BL137" s="51">
        <v>722</v>
      </c>
      <c r="BW137" s="51">
        <v>12</v>
      </c>
      <c r="BX137" s="3" t="s">
        <v>392</v>
      </c>
    </row>
    <row r="138" spans="1:76">
      <c r="A138" s="1" t="s">
        <v>393</v>
      </c>
      <c r="B138" s="2" t="s">
        <v>394</v>
      </c>
      <c r="C138" s="75" t="s">
        <v>395</v>
      </c>
      <c r="D138" s="70"/>
      <c r="E138" s="2" t="s">
        <v>396</v>
      </c>
      <c r="F138" s="51">
        <v>3</v>
      </c>
      <c r="G138" s="52">
        <v>0</v>
      </c>
      <c r="H138" s="51">
        <f t="shared" si="20"/>
        <v>0</v>
      </c>
      <c r="J138" s="41"/>
      <c r="Z138" s="51">
        <f t="shared" si="21"/>
        <v>0</v>
      </c>
      <c r="AB138" s="51">
        <f t="shared" si="22"/>
        <v>0</v>
      </c>
      <c r="AC138" s="51">
        <f t="shared" si="23"/>
        <v>0</v>
      </c>
      <c r="AD138" s="51">
        <f t="shared" si="24"/>
        <v>0</v>
      </c>
      <c r="AE138" s="51">
        <f t="shared" si="25"/>
        <v>0</v>
      </c>
      <c r="AF138" s="51">
        <f t="shared" si="26"/>
        <v>0</v>
      </c>
      <c r="AG138" s="51">
        <f t="shared" si="27"/>
        <v>0</v>
      </c>
      <c r="AH138" s="51">
        <f t="shared" si="28"/>
        <v>0</v>
      </c>
      <c r="AI138" s="35" t="s">
        <v>4</v>
      </c>
      <c r="AJ138" s="51">
        <f t="shared" si="29"/>
        <v>0</v>
      </c>
      <c r="AK138" s="51">
        <f t="shared" si="30"/>
        <v>0</v>
      </c>
      <c r="AL138" s="51">
        <f t="shared" si="31"/>
        <v>0</v>
      </c>
      <c r="AN138" s="51">
        <v>12</v>
      </c>
      <c r="AO138" s="51">
        <f>G138*0.503040847</f>
        <v>0</v>
      </c>
      <c r="AP138" s="51">
        <f>G138*(1-0.503040847)</f>
        <v>0</v>
      </c>
      <c r="AQ138" s="53" t="s">
        <v>149</v>
      </c>
      <c r="AV138" s="51">
        <f t="shared" si="32"/>
        <v>0</v>
      </c>
      <c r="AW138" s="51">
        <f t="shared" si="33"/>
        <v>0</v>
      </c>
      <c r="AX138" s="51">
        <f t="shared" si="34"/>
        <v>0</v>
      </c>
      <c r="AY138" s="53" t="s">
        <v>383</v>
      </c>
      <c r="AZ138" s="53" t="s">
        <v>350</v>
      </c>
      <c r="BA138" s="35" t="s">
        <v>117</v>
      </c>
      <c r="BC138" s="51">
        <f t="shared" si="35"/>
        <v>0</v>
      </c>
      <c r="BD138" s="51">
        <f t="shared" si="36"/>
        <v>0</v>
      </c>
      <c r="BE138" s="51">
        <v>0</v>
      </c>
      <c r="BF138" s="51">
        <f>138</f>
        <v>138</v>
      </c>
      <c r="BH138" s="51">
        <f t="shared" si="37"/>
        <v>0</v>
      </c>
      <c r="BI138" s="51">
        <f t="shared" si="38"/>
        <v>0</v>
      </c>
      <c r="BJ138" s="51">
        <f t="shared" si="39"/>
        <v>0</v>
      </c>
      <c r="BK138" s="53" t="s">
        <v>118</v>
      </c>
      <c r="BL138" s="51">
        <v>722</v>
      </c>
      <c r="BW138" s="51">
        <v>12</v>
      </c>
      <c r="BX138" s="3" t="s">
        <v>395</v>
      </c>
    </row>
    <row r="139" spans="1:76">
      <c r="A139" s="1" t="s">
        <v>397</v>
      </c>
      <c r="B139" s="2" t="s">
        <v>398</v>
      </c>
      <c r="C139" s="75" t="s">
        <v>399</v>
      </c>
      <c r="D139" s="70"/>
      <c r="E139" s="2" t="s">
        <v>146</v>
      </c>
      <c r="F139" s="51">
        <v>12.5</v>
      </c>
      <c r="G139" s="52">
        <v>0</v>
      </c>
      <c r="H139" s="51">
        <f t="shared" si="20"/>
        <v>0</v>
      </c>
      <c r="J139" s="41"/>
      <c r="Z139" s="51">
        <f t="shared" si="21"/>
        <v>0</v>
      </c>
      <c r="AB139" s="51">
        <f t="shared" si="22"/>
        <v>0</v>
      </c>
      <c r="AC139" s="51">
        <f t="shared" si="23"/>
        <v>0</v>
      </c>
      <c r="AD139" s="51">
        <f t="shared" si="24"/>
        <v>0</v>
      </c>
      <c r="AE139" s="51">
        <f t="shared" si="25"/>
        <v>0</v>
      </c>
      <c r="AF139" s="51">
        <f t="shared" si="26"/>
        <v>0</v>
      </c>
      <c r="AG139" s="51">
        <f t="shared" si="27"/>
        <v>0</v>
      </c>
      <c r="AH139" s="51">
        <f t="shared" si="28"/>
        <v>0</v>
      </c>
      <c r="AI139" s="35" t="s">
        <v>4</v>
      </c>
      <c r="AJ139" s="51">
        <f t="shared" si="29"/>
        <v>0</v>
      </c>
      <c r="AK139" s="51">
        <f t="shared" si="30"/>
        <v>0</v>
      </c>
      <c r="AL139" s="51">
        <f t="shared" si="31"/>
        <v>0</v>
      </c>
      <c r="AN139" s="51">
        <v>12</v>
      </c>
      <c r="AO139" s="51">
        <f>G139*0.403959712</f>
        <v>0</v>
      </c>
      <c r="AP139" s="51">
        <f>G139*(1-0.403959712)</f>
        <v>0</v>
      </c>
      <c r="AQ139" s="53" t="s">
        <v>149</v>
      </c>
      <c r="AV139" s="51">
        <f t="shared" si="32"/>
        <v>0</v>
      </c>
      <c r="AW139" s="51">
        <f t="shared" si="33"/>
        <v>0</v>
      </c>
      <c r="AX139" s="51">
        <f t="shared" si="34"/>
        <v>0</v>
      </c>
      <c r="AY139" s="53" t="s">
        <v>383</v>
      </c>
      <c r="AZ139" s="53" t="s">
        <v>350</v>
      </c>
      <c r="BA139" s="35" t="s">
        <v>117</v>
      </c>
      <c r="BC139" s="51">
        <f t="shared" si="35"/>
        <v>0</v>
      </c>
      <c r="BD139" s="51">
        <f t="shared" si="36"/>
        <v>0</v>
      </c>
      <c r="BE139" s="51">
        <v>0</v>
      </c>
      <c r="BF139" s="51">
        <f>139</f>
        <v>139</v>
      </c>
      <c r="BH139" s="51">
        <f t="shared" si="37"/>
        <v>0</v>
      </c>
      <c r="BI139" s="51">
        <f t="shared" si="38"/>
        <v>0</v>
      </c>
      <c r="BJ139" s="51">
        <f t="shared" si="39"/>
        <v>0</v>
      </c>
      <c r="BK139" s="53" t="s">
        <v>118</v>
      </c>
      <c r="BL139" s="51">
        <v>722</v>
      </c>
      <c r="BW139" s="51">
        <v>12</v>
      </c>
      <c r="BX139" s="3" t="s">
        <v>399</v>
      </c>
    </row>
    <row r="140" spans="1:76" ht="13.5" customHeight="1">
      <c r="A140" s="54"/>
      <c r="B140" s="55" t="s">
        <v>119</v>
      </c>
      <c r="C140" s="152" t="s">
        <v>400</v>
      </c>
      <c r="D140" s="153"/>
      <c r="E140" s="153"/>
      <c r="F140" s="153"/>
      <c r="G140" s="154"/>
      <c r="H140" s="153"/>
      <c r="I140" s="153"/>
      <c r="J140" s="155"/>
    </row>
    <row r="141" spans="1:76">
      <c r="A141" s="1" t="s">
        <v>153</v>
      </c>
      <c r="B141" s="2" t="s">
        <v>401</v>
      </c>
      <c r="C141" s="75" t="s">
        <v>402</v>
      </c>
      <c r="D141" s="70"/>
      <c r="E141" s="2" t="s">
        <v>114</v>
      </c>
      <c r="F141" s="51">
        <v>5</v>
      </c>
      <c r="G141" s="52">
        <v>0</v>
      </c>
      <c r="H141" s="51">
        <f>ROUND(F141*G141,2)</f>
        <v>0</v>
      </c>
      <c r="J141" s="41"/>
      <c r="Z141" s="51">
        <f>ROUND(IF(AQ141="5",BJ141,0),2)</f>
        <v>0</v>
      </c>
      <c r="AB141" s="51">
        <f>ROUND(IF(AQ141="1",BH141,0),2)</f>
        <v>0</v>
      </c>
      <c r="AC141" s="51">
        <f>ROUND(IF(AQ141="1",BI141,0),2)</f>
        <v>0</v>
      </c>
      <c r="AD141" s="51">
        <f>ROUND(IF(AQ141="7",BH141,0),2)</f>
        <v>0</v>
      </c>
      <c r="AE141" s="51">
        <f>ROUND(IF(AQ141="7",BI141,0),2)</f>
        <v>0</v>
      </c>
      <c r="AF141" s="51">
        <f>ROUND(IF(AQ141="2",BH141,0),2)</f>
        <v>0</v>
      </c>
      <c r="AG141" s="51">
        <f>ROUND(IF(AQ141="2",BI141,0),2)</f>
        <v>0</v>
      </c>
      <c r="AH141" s="51">
        <f>ROUND(IF(AQ141="0",BJ141,0),2)</f>
        <v>0</v>
      </c>
      <c r="AI141" s="35" t="s">
        <v>4</v>
      </c>
      <c r="AJ141" s="51">
        <f>IF(AN141=0,H141,0)</f>
        <v>0</v>
      </c>
      <c r="AK141" s="51">
        <f>IF(AN141=12,H141,0)</f>
        <v>0</v>
      </c>
      <c r="AL141" s="51">
        <f>IF(AN141=21,H141,0)</f>
        <v>0</v>
      </c>
      <c r="AN141" s="51">
        <v>12</v>
      </c>
      <c r="AO141" s="51">
        <f>G141*0</f>
        <v>0</v>
      </c>
      <c r="AP141" s="51">
        <f>G141*(1-0)</f>
        <v>0</v>
      </c>
      <c r="AQ141" s="53" t="s">
        <v>149</v>
      </c>
      <c r="AV141" s="51">
        <f>ROUND(AW141+AX141,2)</f>
        <v>0</v>
      </c>
      <c r="AW141" s="51">
        <f>ROUND(F141*AO141,2)</f>
        <v>0</v>
      </c>
      <c r="AX141" s="51">
        <f>ROUND(F141*AP141,2)</f>
        <v>0</v>
      </c>
      <c r="AY141" s="53" t="s">
        <v>383</v>
      </c>
      <c r="AZ141" s="53" t="s">
        <v>350</v>
      </c>
      <c r="BA141" s="35" t="s">
        <v>117</v>
      </c>
      <c r="BC141" s="51">
        <f>AW141+AX141</f>
        <v>0</v>
      </c>
      <c r="BD141" s="51">
        <f>G141/(100-BE141)*100</f>
        <v>0</v>
      </c>
      <c r="BE141" s="51">
        <v>0</v>
      </c>
      <c r="BF141" s="51">
        <f>141</f>
        <v>141</v>
      </c>
      <c r="BH141" s="51">
        <f>F141*AO141</f>
        <v>0</v>
      </c>
      <c r="BI141" s="51">
        <f>F141*AP141</f>
        <v>0</v>
      </c>
      <c r="BJ141" s="51">
        <f>F141*G141</f>
        <v>0</v>
      </c>
      <c r="BK141" s="53" t="s">
        <v>118</v>
      </c>
      <c r="BL141" s="51">
        <v>722</v>
      </c>
      <c r="BW141" s="51">
        <v>12</v>
      </c>
      <c r="BX141" s="3" t="s">
        <v>402</v>
      </c>
    </row>
    <row r="142" spans="1:76">
      <c r="A142" s="1" t="s">
        <v>403</v>
      </c>
      <c r="B142" s="2" t="s">
        <v>404</v>
      </c>
      <c r="C142" s="75" t="s">
        <v>405</v>
      </c>
      <c r="D142" s="70"/>
      <c r="E142" s="2" t="s">
        <v>146</v>
      </c>
      <c r="F142" s="51">
        <v>12.5</v>
      </c>
      <c r="G142" s="52">
        <v>0</v>
      </c>
      <c r="H142" s="51">
        <f>ROUND(F142*G142,2)</f>
        <v>0</v>
      </c>
      <c r="J142" s="41"/>
      <c r="Z142" s="51">
        <f>ROUND(IF(AQ142="5",BJ142,0),2)</f>
        <v>0</v>
      </c>
      <c r="AB142" s="51">
        <f>ROUND(IF(AQ142="1",BH142,0),2)</f>
        <v>0</v>
      </c>
      <c r="AC142" s="51">
        <f>ROUND(IF(AQ142="1",BI142,0),2)</f>
        <v>0</v>
      </c>
      <c r="AD142" s="51">
        <f>ROUND(IF(AQ142="7",BH142,0),2)</f>
        <v>0</v>
      </c>
      <c r="AE142" s="51">
        <f>ROUND(IF(AQ142="7",BI142,0),2)</f>
        <v>0</v>
      </c>
      <c r="AF142" s="51">
        <f>ROUND(IF(AQ142="2",BH142,0),2)</f>
        <v>0</v>
      </c>
      <c r="AG142" s="51">
        <f>ROUND(IF(AQ142="2",BI142,0),2)</f>
        <v>0</v>
      </c>
      <c r="AH142" s="51">
        <f>ROUND(IF(AQ142="0",BJ142,0),2)</f>
        <v>0</v>
      </c>
      <c r="AI142" s="35" t="s">
        <v>4</v>
      </c>
      <c r="AJ142" s="51">
        <f>IF(AN142=0,H142,0)</f>
        <v>0</v>
      </c>
      <c r="AK142" s="51">
        <f>IF(AN142=12,H142,0)</f>
        <v>0</v>
      </c>
      <c r="AL142" s="51">
        <f>IF(AN142=21,H142,0)</f>
        <v>0</v>
      </c>
      <c r="AN142" s="51">
        <v>12</v>
      </c>
      <c r="AO142" s="51">
        <f>G142*0.047054705</f>
        <v>0</v>
      </c>
      <c r="AP142" s="51">
        <f>G142*(1-0.047054705)</f>
        <v>0</v>
      </c>
      <c r="AQ142" s="53" t="s">
        <v>149</v>
      </c>
      <c r="AV142" s="51">
        <f>ROUND(AW142+AX142,2)</f>
        <v>0</v>
      </c>
      <c r="AW142" s="51">
        <f>ROUND(F142*AO142,2)</f>
        <v>0</v>
      </c>
      <c r="AX142" s="51">
        <f>ROUND(F142*AP142,2)</f>
        <v>0</v>
      </c>
      <c r="AY142" s="53" t="s">
        <v>383</v>
      </c>
      <c r="AZ142" s="53" t="s">
        <v>350</v>
      </c>
      <c r="BA142" s="35" t="s">
        <v>117</v>
      </c>
      <c r="BC142" s="51">
        <f>AW142+AX142</f>
        <v>0</v>
      </c>
      <c r="BD142" s="51">
        <f>G142/(100-BE142)*100</f>
        <v>0</v>
      </c>
      <c r="BE142" s="51">
        <v>0</v>
      </c>
      <c r="BF142" s="51">
        <f>142</f>
        <v>142</v>
      </c>
      <c r="BH142" s="51">
        <f>F142*AO142</f>
        <v>0</v>
      </c>
      <c r="BI142" s="51">
        <f>F142*AP142</f>
        <v>0</v>
      </c>
      <c r="BJ142" s="51">
        <f>F142*G142</f>
        <v>0</v>
      </c>
      <c r="BK142" s="53" t="s">
        <v>118</v>
      </c>
      <c r="BL142" s="51">
        <v>722</v>
      </c>
      <c r="BW142" s="51">
        <v>12</v>
      </c>
      <c r="BX142" s="3" t="s">
        <v>405</v>
      </c>
    </row>
    <row r="143" spans="1:76">
      <c r="A143" s="1" t="s">
        <v>217</v>
      </c>
      <c r="B143" s="2" t="s">
        <v>406</v>
      </c>
      <c r="C143" s="75" t="s">
        <v>407</v>
      </c>
      <c r="D143" s="70"/>
      <c r="E143" s="2" t="s">
        <v>146</v>
      </c>
      <c r="F143" s="51">
        <v>12.5</v>
      </c>
      <c r="G143" s="52">
        <v>0</v>
      </c>
      <c r="H143" s="51">
        <f>ROUND(F143*G143,2)</f>
        <v>0</v>
      </c>
      <c r="J143" s="41"/>
      <c r="Z143" s="51">
        <f>ROUND(IF(AQ143="5",BJ143,0),2)</f>
        <v>0</v>
      </c>
      <c r="AB143" s="51">
        <f>ROUND(IF(AQ143="1",BH143,0),2)</f>
        <v>0</v>
      </c>
      <c r="AC143" s="51">
        <f>ROUND(IF(AQ143="1",BI143,0),2)</f>
        <v>0</v>
      </c>
      <c r="AD143" s="51">
        <f>ROUND(IF(AQ143="7",BH143,0),2)</f>
        <v>0</v>
      </c>
      <c r="AE143" s="51">
        <f>ROUND(IF(AQ143="7",BI143,0),2)</f>
        <v>0</v>
      </c>
      <c r="AF143" s="51">
        <f>ROUND(IF(AQ143="2",BH143,0),2)</f>
        <v>0</v>
      </c>
      <c r="AG143" s="51">
        <f>ROUND(IF(AQ143="2",BI143,0),2)</f>
        <v>0</v>
      </c>
      <c r="AH143" s="51">
        <f>ROUND(IF(AQ143="0",BJ143,0),2)</f>
        <v>0</v>
      </c>
      <c r="AI143" s="35" t="s">
        <v>4</v>
      </c>
      <c r="AJ143" s="51">
        <f>IF(AN143=0,H143,0)</f>
        <v>0</v>
      </c>
      <c r="AK143" s="51">
        <f>IF(AN143=12,H143,0)</f>
        <v>0</v>
      </c>
      <c r="AL143" s="51">
        <f>IF(AN143=21,H143,0)</f>
        <v>0</v>
      </c>
      <c r="AN143" s="51">
        <v>12</v>
      </c>
      <c r="AO143" s="51">
        <f>G143*0.01352657</f>
        <v>0</v>
      </c>
      <c r="AP143" s="51">
        <f>G143*(1-0.01352657)</f>
        <v>0</v>
      </c>
      <c r="AQ143" s="53" t="s">
        <v>149</v>
      </c>
      <c r="AV143" s="51">
        <f>ROUND(AW143+AX143,2)</f>
        <v>0</v>
      </c>
      <c r="AW143" s="51">
        <f>ROUND(F143*AO143,2)</f>
        <v>0</v>
      </c>
      <c r="AX143" s="51">
        <f>ROUND(F143*AP143,2)</f>
        <v>0</v>
      </c>
      <c r="AY143" s="53" t="s">
        <v>383</v>
      </c>
      <c r="AZ143" s="53" t="s">
        <v>350</v>
      </c>
      <c r="BA143" s="35" t="s">
        <v>117</v>
      </c>
      <c r="BC143" s="51">
        <f>AW143+AX143</f>
        <v>0</v>
      </c>
      <c r="BD143" s="51">
        <f>G143/(100-BE143)*100</f>
        <v>0</v>
      </c>
      <c r="BE143" s="51">
        <v>0</v>
      </c>
      <c r="BF143" s="51">
        <f>143</f>
        <v>143</v>
      </c>
      <c r="BH143" s="51">
        <f>F143*AO143</f>
        <v>0</v>
      </c>
      <c r="BI143" s="51">
        <f>F143*AP143</f>
        <v>0</v>
      </c>
      <c r="BJ143" s="51">
        <f>F143*G143</f>
        <v>0</v>
      </c>
      <c r="BK143" s="53" t="s">
        <v>118</v>
      </c>
      <c r="BL143" s="51">
        <v>722</v>
      </c>
      <c r="BW143" s="51">
        <v>12</v>
      </c>
      <c r="BX143" s="3" t="s">
        <v>407</v>
      </c>
    </row>
    <row r="144" spans="1:76">
      <c r="A144" s="1" t="s">
        <v>408</v>
      </c>
      <c r="B144" s="2" t="s">
        <v>409</v>
      </c>
      <c r="C144" s="75" t="s">
        <v>410</v>
      </c>
      <c r="D144" s="70"/>
      <c r="E144" s="2" t="s">
        <v>285</v>
      </c>
      <c r="F144" s="51">
        <v>3.6999999999999998E-2</v>
      </c>
      <c r="G144" s="52">
        <v>0</v>
      </c>
      <c r="H144" s="51">
        <f>ROUND(F144*G144,2)</f>
        <v>0</v>
      </c>
      <c r="J144" s="41"/>
      <c r="Z144" s="51">
        <f>ROUND(IF(AQ144="5",BJ144,0),2)</f>
        <v>0</v>
      </c>
      <c r="AB144" s="51">
        <f>ROUND(IF(AQ144="1",BH144,0),2)</f>
        <v>0</v>
      </c>
      <c r="AC144" s="51">
        <f>ROUND(IF(AQ144="1",BI144,0),2)</f>
        <v>0</v>
      </c>
      <c r="AD144" s="51">
        <f>ROUND(IF(AQ144="7",BH144,0),2)</f>
        <v>0</v>
      </c>
      <c r="AE144" s="51">
        <f>ROUND(IF(AQ144="7",BI144,0),2)</f>
        <v>0</v>
      </c>
      <c r="AF144" s="51">
        <f>ROUND(IF(AQ144="2",BH144,0),2)</f>
        <v>0</v>
      </c>
      <c r="AG144" s="51">
        <f>ROUND(IF(AQ144="2",BI144,0),2)</f>
        <v>0</v>
      </c>
      <c r="AH144" s="51">
        <f>ROUND(IF(AQ144="0",BJ144,0),2)</f>
        <v>0</v>
      </c>
      <c r="AI144" s="35" t="s">
        <v>4</v>
      </c>
      <c r="AJ144" s="51">
        <f>IF(AN144=0,H144,0)</f>
        <v>0</v>
      </c>
      <c r="AK144" s="51">
        <f>IF(AN144=12,H144,0)</f>
        <v>0</v>
      </c>
      <c r="AL144" s="51">
        <f>IF(AN144=21,H144,0)</f>
        <v>0</v>
      </c>
      <c r="AN144" s="51">
        <v>12</v>
      </c>
      <c r="AO144" s="51">
        <f>G144*0</f>
        <v>0</v>
      </c>
      <c r="AP144" s="51">
        <f>G144*(1-0)</f>
        <v>0</v>
      </c>
      <c r="AQ144" s="53" t="s">
        <v>139</v>
      </c>
      <c r="AV144" s="51">
        <f>ROUND(AW144+AX144,2)</f>
        <v>0</v>
      </c>
      <c r="AW144" s="51">
        <f>ROUND(F144*AO144,2)</f>
        <v>0</v>
      </c>
      <c r="AX144" s="51">
        <f>ROUND(F144*AP144,2)</f>
        <v>0</v>
      </c>
      <c r="AY144" s="53" t="s">
        <v>383</v>
      </c>
      <c r="AZ144" s="53" t="s">
        <v>350</v>
      </c>
      <c r="BA144" s="35" t="s">
        <v>117</v>
      </c>
      <c r="BC144" s="51">
        <f>AW144+AX144</f>
        <v>0</v>
      </c>
      <c r="BD144" s="51">
        <f>G144/(100-BE144)*100</f>
        <v>0</v>
      </c>
      <c r="BE144" s="51">
        <v>0</v>
      </c>
      <c r="BF144" s="51">
        <f>144</f>
        <v>144</v>
      </c>
      <c r="BH144" s="51">
        <f>F144*AO144</f>
        <v>0</v>
      </c>
      <c r="BI144" s="51">
        <f>F144*AP144</f>
        <v>0</v>
      </c>
      <c r="BJ144" s="51">
        <f>F144*G144</f>
        <v>0</v>
      </c>
      <c r="BK144" s="53" t="s">
        <v>118</v>
      </c>
      <c r="BL144" s="51">
        <v>722</v>
      </c>
      <c r="BW144" s="51">
        <v>12</v>
      </c>
      <c r="BX144" s="3" t="s">
        <v>410</v>
      </c>
    </row>
    <row r="145" spans="1:76">
      <c r="A145" s="47" t="s">
        <v>4</v>
      </c>
      <c r="B145" s="48" t="s">
        <v>411</v>
      </c>
      <c r="C145" s="150" t="s">
        <v>412</v>
      </c>
      <c r="D145" s="151"/>
      <c r="E145" s="49" t="s">
        <v>79</v>
      </c>
      <c r="F145" s="49" t="s">
        <v>79</v>
      </c>
      <c r="G145" s="50" t="s">
        <v>79</v>
      </c>
      <c r="H145" s="28">
        <f>SUM(H146:H167)</f>
        <v>0</v>
      </c>
      <c r="J145" s="41"/>
      <c r="AI145" s="35" t="s">
        <v>4</v>
      </c>
      <c r="AS145" s="28">
        <f>SUM(AJ146:AJ167)</f>
        <v>0</v>
      </c>
      <c r="AT145" s="28">
        <f>SUM(AK146:AK167)</f>
        <v>0</v>
      </c>
      <c r="AU145" s="28">
        <f>SUM(AL146:AL167)</f>
        <v>0</v>
      </c>
    </row>
    <row r="146" spans="1:76">
      <c r="A146" s="1" t="s">
        <v>413</v>
      </c>
      <c r="B146" s="2" t="s">
        <v>414</v>
      </c>
      <c r="C146" s="75" t="s">
        <v>415</v>
      </c>
      <c r="D146" s="70"/>
      <c r="E146" s="2" t="s">
        <v>416</v>
      </c>
      <c r="F146" s="51">
        <v>1</v>
      </c>
      <c r="G146" s="52">
        <v>0</v>
      </c>
      <c r="H146" s="51">
        <f t="shared" ref="H146:H152" si="40">ROUND(F146*G146,2)</f>
        <v>0</v>
      </c>
      <c r="J146" s="41"/>
      <c r="Z146" s="51">
        <f t="shared" ref="Z146:Z152" si="41">ROUND(IF(AQ146="5",BJ146,0),2)</f>
        <v>0</v>
      </c>
      <c r="AB146" s="51">
        <f t="shared" ref="AB146:AB152" si="42">ROUND(IF(AQ146="1",BH146,0),2)</f>
        <v>0</v>
      </c>
      <c r="AC146" s="51">
        <f t="shared" ref="AC146:AC152" si="43">ROUND(IF(AQ146="1",BI146,0),2)</f>
        <v>0</v>
      </c>
      <c r="AD146" s="51">
        <f t="shared" ref="AD146:AD152" si="44">ROUND(IF(AQ146="7",BH146,0),2)</f>
        <v>0</v>
      </c>
      <c r="AE146" s="51">
        <f t="shared" ref="AE146:AE152" si="45">ROUND(IF(AQ146="7",BI146,0),2)</f>
        <v>0</v>
      </c>
      <c r="AF146" s="51">
        <f t="shared" ref="AF146:AF152" si="46">ROUND(IF(AQ146="2",BH146,0),2)</f>
        <v>0</v>
      </c>
      <c r="AG146" s="51">
        <f t="shared" ref="AG146:AG152" si="47">ROUND(IF(AQ146="2",BI146,0),2)</f>
        <v>0</v>
      </c>
      <c r="AH146" s="51">
        <f t="shared" ref="AH146:AH152" si="48">ROUND(IF(AQ146="0",BJ146,0),2)</f>
        <v>0</v>
      </c>
      <c r="AI146" s="35" t="s">
        <v>4</v>
      </c>
      <c r="AJ146" s="51">
        <f t="shared" ref="AJ146:AJ152" si="49">IF(AN146=0,H146,0)</f>
        <v>0</v>
      </c>
      <c r="AK146" s="51">
        <f t="shared" ref="AK146:AK152" si="50">IF(AN146=12,H146,0)</f>
        <v>0</v>
      </c>
      <c r="AL146" s="51">
        <f t="shared" ref="AL146:AL152" si="51">IF(AN146=21,H146,0)</f>
        <v>0</v>
      </c>
      <c r="AN146" s="51">
        <v>12</v>
      </c>
      <c r="AO146" s="51">
        <f>G146*0.136845966</f>
        <v>0</v>
      </c>
      <c r="AP146" s="51">
        <f>G146*(1-0.136845966)</f>
        <v>0</v>
      </c>
      <c r="AQ146" s="53" t="s">
        <v>149</v>
      </c>
      <c r="AV146" s="51">
        <f t="shared" ref="AV146:AV152" si="52">ROUND(AW146+AX146,2)</f>
        <v>0</v>
      </c>
      <c r="AW146" s="51">
        <f t="shared" ref="AW146:AW152" si="53">ROUND(F146*AO146,2)</f>
        <v>0</v>
      </c>
      <c r="AX146" s="51">
        <f t="shared" ref="AX146:AX152" si="54">ROUND(F146*AP146,2)</f>
        <v>0</v>
      </c>
      <c r="AY146" s="53" t="s">
        <v>417</v>
      </c>
      <c r="AZ146" s="53" t="s">
        <v>350</v>
      </c>
      <c r="BA146" s="35" t="s">
        <v>117</v>
      </c>
      <c r="BC146" s="51">
        <f t="shared" ref="BC146:BC152" si="55">AW146+AX146</f>
        <v>0</v>
      </c>
      <c r="BD146" s="51">
        <f t="shared" ref="BD146:BD152" si="56">G146/(100-BE146)*100</f>
        <v>0</v>
      </c>
      <c r="BE146" s="51">
        <v>0</v>
      </c>
      <c r="BF146" s="51">
        <f>146</f>
        <v>146</v>
      </c>
      <c r="BH146" s="51">
        <f t="shared" ref="BH146:BH152" si="57">F146*AO146</f>
        <v>0</v>
      </c>
      <c r="BI146" s="51">
        <f t="shared" ref="BI146:BI152" si="58">F146*AP146</f>
        <v>0</v>
      </c>
      <c r="BJ146" s="51">
        <f t="shared" ref="BJ146:BJ152" si="59">F146*G146</f>
        <v>0</v>
      </c>
      <c r="BK146" s="53" t="s">
        <v>118</v>
      </c>
      <c r="BL146" s="51">
        <v>725</v>
      </c>
      <c r="BW146" s="51">
        <v>12</v>
      </c>
      <c r="BX146" s="3" t="s">
        <v>415</v>
      </c>
    </row>
    <row r="147" spans="1:76">
      <c r="A147" s="1" t="s">
        <v>418</v>
      </c>
      <c r="B147" s="2" t="s">
        <v>419</v>
      </c>
      <c r="C147" s="75" t="s">
        <v>420</v>
      </c>
      <c r="D147" s="70"/>
      <c r="E147" s="2" t="s">
        <v>416</v>
      </c>
      <c r="F147" s="51">
        <v>1</v>
      </c>
      <c r="G147" s="52">
        <v>0</v>
      </c>
      <c r="H147" s="51">
        <f t="shared" si="40"/>
        <v>0</v>
      </c>
      <c r="J147" s="41"/>
      <c r="Z147" s="51">
        <f t="shared" si="41"/>
        <v>0</v>
      </c>
      <c r="AB147" s="51">
        <f t="shared" si="42"/>
        <v>0</v>
      </c>
      <c r="AC147" s="51">
        <f t="shared" si="43"/>
        <v>0</v>
      </c>
      <c r="AD147" s="51">
        <f t="shared" si="44"/>
        <v>0</v>
      </c>
      <c r="AE147" s="51">
        <f t="shared" si="45"/>
        <v>0</v>
      </c>
      <c r="AF147" s="51">
        <f t="shared" si="46"/>
        <v>0</v>
      </c>
      <c r="AG147" s="51">
        <f t="shared" si="47"/>
        <v>0</v>
      </c>
      <c r="AH147" s="51">
        <f t="shared" si="48"/>
        <v>0</v>
      </c>
      <c r="AI147" s="35" t="s">
        <v>4</v>
      </c>
      <c r="AJ147" s="51">
        <f t="shared" si="49"/>
        <v>0</v>
      </c>
      <c r="AK147" s="51">
        <f t="shared" si="50"/>
        <v>0</v>
      </c>
      <c r="AL147" s="51">
        <f t="shared" si="51"/>
        <v>0</v>
      </c>
      <c r="AN147" s="51">
        <v>12</v>
      </c>
      <c r="AO147" s="51">
        <f>G147*0.764232955</f>
        <v>0</v>
      </c>
      <c r="AP147" s="51">
        <f>G147*(1-0.764232955)</f>
        <v>0</v>
      </c>
      <c r="AQ147" s="53" t="s">
        <v>149</v>
      </c>
      <c r="AV147" s="51">
        <f t="shared" si="52"/>
        <v>0</v>
      </c>
      <c r="AW147" s="51">
        <f t="shared" si="53"/>
        <v>0</v>
      </c>
      <c r="AX147" s="51">
        <f t="shared" si="54"/>
        <v>0</v>
      </c>
      <c r="AY147" s="53" t="s">
        <v>417</v>
      </c>
      <c r="AZ147" s="53" t="s">
        <v>350</v>
      </c>
      <c r="BA147" s="35" t="s">
        <v>117</v>
      </c>
      <c r="BC147" s="51">
        <f t="shared" si="55"/>
        <v>0</v>
      </c>
      <c r="BD147" s="51">
        <f t="shared" si="56"/>
        <v>0</v>
      </c>
      <c r="BE147" s="51">
        <v>0</v>
      </c>
      <c r="BF147" s="51">
        <f>147</f>
        <v>147</v>
      </c>
      <c r="BH147" s="51">
        <f t="shared" si="57"/>
        <v>0</v>
      </c>
      <c r="BI147" s="51">
        <f t="shared" si="58"/>
        <v>0</v>
      </c>
      <c r="BJ147" s="51">
        <f t="shared" si="59"/>
        <v>0</v>
      </c>
      <c r="BK147" s="53" t="s">
        <v>118</v>
      </c>
      <c r="BL147" s="51">
        <v>725</v>
      </c>
      <c r="BW147" s="51">
        <v>12</v>
      </c>
      <c r="BX147" s="3" t="s">
        <v>420</v>
      </c>
    </row>
    <row r="148" spans="1:76">
      <c r="A148" s="1" t="s">
        <v>421</v>
      </c>
      <c r="B148" s="2" t="s">
        <v>422</v>
      </c>
      <c r="C148" s="75" t="s">
        <v>423</v>
      </c>
      <c r="D148" s="70"/>
      <c r="E148" s="2" t="s">
        <v>114</v>
      </c>
      <c r="F148" s="51">
        <v>1</v>
      </c>
      <c r="G148" s="52">
        <v>0</v>
      </c>
      <c r="H148" s="51">
        <f t="shared" si="40"/>
        <v>0</v>
      </c>
      <c r="J148" s="41"/>
      <c r="Z148" s="51">
        <f t="shared" si="41"/>
        <v>0</v>
      </c>
      <c r="AB148" s="51">
        <f t="shared" si="42"/>
        <v>0</v>
      </c>
      <c r="AC148" s="51">
        <f t="shared" si="43"/>
        <v>0</v>
      </c>
      <c r="AD148" s="51">
        <f t="shared" si="44"/>
        <v>0</v>
      </c>
      <c r="AE148" s="51">
        <f t="shared" si="45"/>
        <v>0</v>
      </c>
      <c r="AF148" s="51">
        <f t="shared" si="46"/>
        <v>0</v>
      </c>
      <c r="AG148" s="51">
        <f t="shared" si="47"/>
        <v>0</v>
      </c>
      <c r="AH148" s="51">
        <f t="shared" si="48"/>
        <v>0</v>
      </c>
      <c r="AI148" s="35" t="s">
        <v>4</v>
      </c>
      <c r="AJ148" s="51">
        <f t="shared" si="49"/>
        <v>0</v>
      </c>
      <c r="AK148" s="51">
        <f t="shared" si="50"/>
        <v>0</v>
      </c>
      <c r="AL148" s="51">
        <f t="shared" si="51"/>
        <v>0</v>
      </c>
      <c r="AN148" s="51">
        <v>12</v>
      </c>
      <c r="AO148" s="51">
        <f>G148*0.633629557</f>
        <v>0</v>
      </c>
      <c r="AP148" s="51">
        <f>G148*(1-0.633629557)</f>
        <v>0</v>
      </c>
      <c r="AQ148" s="53" t="s">
        <v>149</v>
      </c>
      <c r="AV148" s="51">
        <f t="shared" si="52"/>
        <v>0</v>
      </c>
      <c r="AW148" s="51">
        <f t="shared" si="53"/>
        <v>0</v>
      </c>
      <c r="AX148" s="51">
        <f t="shared" si="54"/>
        <v>0</v>
      </c>
      <c r="AY148" s="53" t="s">
        <v>417</v>
      </c>
      <c r="AZ148" s="53" t="s">
        <v>350</v>
      </c>
      <c r="BA148" s="35" t="s">
        <v>117</v>
      </c>
      <c r="BC148" s="51">
        <f t="shared" si="55"/>
        <v>0</v>
      </c>
      <c r="BD148" s="51">
        <f t="shared" si="56"/>
        <v>0</v>
      </c>
      <c r="BE148" s="51">
        <v>0</v>
      </c>
      <c r="BF148" s="51">
        <f>148</f>
        <v>148</v>
      </c>
      <c r="BH148" s="51">
        <f t="shared" si="57"/>
        <v>0</v>
      </c>
      <c r="BI148" s="51">
        <f t="shared" si="58"/>
        <v>0</v>
      </c>
      <c r="BJ148" s="51">
        <f t="shared" si="59"/>
        <v>0</v>
      </c>
      <c r="BK148" s="53" t="s">
        <v>118</v>
      </c>
      <c r="BL148" s="51">
        <v>725</v>
      </c>
      <c r="BW148" s="51">
        <v>12</v>
      </c>
      <c r="BX148" s="3" t="s">
        <v>423</v>
      </c>
    </row>
    <row r="149" spans="1:76">
      <c r="A149" s="1" t="s">
        <v>424</v>
      </c>
      <c r="B149" s="2" t="s">
        <v>425</v>
      </c>
      <c r="C149" s="75" t="s">
        <v>426</v>
      </c>
      <c r="D149" s="70"/>
      <c r="E149" s="2" t="s">
        <v>114</v>
      </c>
      <c r="F149" s="51">
        <v>1</v>
      </c>
      <c r="G149" s="52">
        <v>0</v>
      </c>
      <c r="H149" s="51">
        <f t="shared" si="40"/>
        <v>0</v>
      </c>
      <c r="J149" s="41"/>
      <c r="Z149" s="51">
        <f t="shared" si="41"/>
        <v>0</v>
      </c>
      <c r="AB149" s="51">
        <f t="shared" si="42"/>
        <v>0</v>
      </c>
      <c r="AC149" s="51">
        <f t="shared" si="43"/>
        <v>0</v>
      </c>
      <c r="AD149" s="51">
        <f t="shared" si="44"/>
        <v>0</v>
      </c>
      <c r="AE149" s="51">
        <f t="shared" si="45"/>
        <v>0</v>
      </c>
      <c r="AF149" s="51">
        <f t="shared" si="46"/>
        <v>0</v>
      </c>
      <c r="AG149" s="51">
        <f t="shared" si="47"/>
        <v>0</v>
      </c>
      <c r="AH149" s="51">
        <f t="shared" si="48"/>
        <v>0</v>
      </c>
      <c r="AI149" s="35" t="s">
        <v>4</v>
      </c>
      <c r="AJ149" s="51">
        <f t="shared" si="49"/>
        <v>0</v>
      </c>
      <c r="AK149" s="51">
        <f t="shared" si="50"/>
        <v>0</v>
      </c>
      <c r="AL149" s="51">
        <f t="shared" si="51"/>
        <v>0</v>
      </c>
      <c r="AN149" s="51">
        <v>12</v>
      </c>
      <c r="AO149" s="51">
        <f>G149*0.493416229</f>
        <v>0</v>
      </c>
      <c r="AP149" s="51">
        <f>G149*(1-0.493416229)</f>
        <v>0</v>
      </c>
      <c r="AQ149" s="53" t="s">
        <v>149</v>
      </c>
      <c r="AV149" s="51">
        <f t="shared" si="52"/>
        <v>0</v>
      </c>
      <c r="AW149" s="51">
        <f t="shared" si="53"/>
        <v>0</v>
      </c>
      <c r="AX149" s="51">
        <f t="shared" si="54"/>
        <v>0</v>
      </c>
      <c r="AY149" s="53" t="s">
        <v>417</v>
      </c>
      <c r="AZ149" s="53" t="s">
        <v>350</v>
      </c>
      <c r="BA149" s="35" t="s">
        <v>117</v>
      </c>
      <c r="BC149" s="51">
        <f t="shared" si="55"/>
        <v>0</v>
      </c>
      <c r="BD149" s="51">
        <f t="shared" si="56"/>
        <v>0</v>
      </c>
      <c r="BE149" s="51">
        <v>0</v>
      </c>
      <c r="BF149" s="51">
        <f>149</f>
        <v>149</v>
      </c>
      <c r="BH149" s="51">
        <f t="shared" si="57"/>
        <v>0</v>
      </c>
      <c r="BI149" s="51">
        <f t="shared" si="58"/>
        <v>0</v>
      </c>
      <c r="BJ149" s="51">
        <f t="shared" si="59"/>
        <v>0</v>
      </c>
      <c r="BK149" s="53" t="s">
        <v>118</v>
      </c>
      <c r="BL149" s="51">
        <v>725</v>
      </c>
      <c r="BW149" s="51">
        <v>12</v>
      </c>
      <c r="BX149" s="3" t="s">
        <v>426</v>
      </c>
    </row>
    <row r="150" spans="1:76">
      <c r="A150" s="1" t="s">
        <v>427</v>
      </c>
      <c r="B150" s="2" t="s">
        <v>428</v>
      </c>
      <c r="C150" s="75" t="s">
        <v>429</v>
      </c>
      <c r="D150" s="70"/>
      <c r="E150" s="2" t="s">
        <v>114</v>
      </c>
      <c r="F150" s="51">
        <v>2</v>
      </c>
      <c r="G150" s="52">
        <v>0</v>
      </c>
      <c r="H150" s="51">
        <f t="shared" si="40"/>
        <v>0</v>
      </c>
      <c r="J150" s="41"/>
      <c r="Z150" s="51">
        <f t="shared" si="41"/>
        <v>0</v>
      </c>
      <c r="AB150" s="51">
        <f t="shared" si="42"/>
        <v>0</v>
      </c>
      <c r="AC150" s="51">
        <f t="shared" si="43"/>
        <v>0</v>
      </c>
      <c r="AD150" s="51">
        <f t="shared" si="44"/>
        <v>0</v>
      </c>
      <c r="AE150" s="51">
        <f t="shared" si="45"/>
        <v>0</v>
      </c>
      <c r="AF150" s="51">
        <f t="shared" si="46"/>
        <v>0</v>
      </c>
      <c r="AG150" s="51">
        <f t="shared" si="47"/>
        <v>0</v>
      </c>
      <c r="AH150" s="51">
        <f t="shared" si="48"/>
        <v>0</v>
      </c>
      <c r="AI150" s="35" t="s">
        <v>4</v>
      </c>
      <c r="AJ150" s="51">
        <f t="shared" si="49"/>
        <v>0</v>
      </c>
      <c r="AK150" s="51">
        <f t="shared" si="50"/>
        <v>0</v>
      </c>
      <c r="AL150" s="51">
        <f t="shared" si="51"/>
        <v>0</v>
      </c>
      <c r="AN150" s="51">
        <v>12</v>
      </c>
      <c r="AO150" s="51">
        <f>G150*0.029006211</f>
        <v>0</v>
      </c>
      <c r="AP150" s="51">
        <f>G150*(1-0.029006211)</f>
        <v>0</v>
      </c>
      <c r="AQ150" s="53" t="s">
        <v>149</v>
      </c>
      <c r="AV150" s="51">
        <f t="shared" si="52"/>
        <v>0</v>
      </c>
      <c r="AW150" s="51">
        <f t="shared" si="53"/>
        <v>0</v>
      </c>
      <c r="AX150" s="51">
        <f t="shared" si="54"/>
        <v>0</v>
      </c>
      <c r="AY150" s="53" t="s">
        <v>417</v>
      </c>
      <c r="AZ150" s="53" t="s">
        <v>350</v>
      </c>
      <c r="BA150" s="35" t="s">
        <v>117</v>
      </c>
      <c r="BC150" s="51">
        <f t="shared" si="55"/>
        <v>0</v>
      </c>
      <c r="BD150" s="51">
        <f t="shared" si="56"/>
        <v>0</v>
      </c>
      <c r="BE150" s="51">
        <v>0</v>
      </c>
      <c r="BF150" s="51">
        <f>150</f>
        <v>150</v>
      </c>
      <c r="BH150" s="51">
        <f t="shared" si="57"/>
        <v>0</v>
      </c>
      <c r="BI150" s="51">
        <f t="shared" si="58"/>
        <v>0</v>
      </c>
      <c r="BJ150" s="51">
        <f t="shared" si="59"/>
        <v>0</v>
      </c>
      <c r="BK150" s="53" t="s">
        <v>118</v>
      </c>
      <c r="BL150" s="51">
        <v>725</v>
      </c>
      <c r="BW150" s="51">
        <v>12</v>
      </c>
      <c r="BX150" s="3" t="s">
        <v>429</v>
      </c>
    </row>
    <row r="151" spans="1:76">
      <c r="A151" s="1" t="s">
        <v>430</v>
      </c>
      <c r="B151" s="2" t="s">
        <v>431</v>
      </c>
      <c r="C151" s="75" t="s">
        <v>432</v>
      </c>
      <c r="D151" s="70"/>
      <c r="E151" s="2" t="s">
        <v>114</v>
      </c>
      <c r="F151" s="51">
        <v>1</v>
      </c>
      <c r="G151" s="52">
        <v>0</v>
      </c>
      <c r="H151" s="51">
        <f t="shared" si="40"/>
        <v>0</v>
      </c>
      <c r="J151" s="41"/>
      <c r="Z151" s="51">
        <f t="shared" si="41"/>
        <v>0</v>
      </c>
      <c r="AB151" s="51">
        <f t="shared" si="42"/>
        <v>0</v>
      </c>
      <c r="AC151" s="51">
        <f t="shared" si="43"/>
        <v>0</v>
      </c>
      <c r="AD151" s="51">
        <f t="shared" si="44"/>
        <v>0</v>
      </c>
      <c r="AE151" s="51">
        <f t="shared" si="45"/>
        <v>0</v>
      </c>
      <c r="AF151" s="51">
        <f t="shared" si="46"/>
        <v>0</v>
      </c>
      <c r="AG151" s="51">
        <f t="shared" si="47"/>
        <v>0</v>
      </c>
      <c r="AH151" s="51">
        <f t="shared" si="48"/>
        <v>0</v>
      </c>
      <c r="AI151" s="35" t="s">
        <v>4</v>
      </c>
      <c r="AJ151" s="51">
        <f t="shared" si="49"/>
        <v>0</v>
      </c>
      <c r="AK151" s="51">
        <f t="shared" si="50"/>
        <v>0</v>
      </c>
      <c r="AL151" s="51">
        <f t="shared" si="51"/>
        <v>0</v>
      </c>
      <c r="AN151" s="51">
        <v>12</v>
      </c>
      <c r="AO151" s="51">
        <f>G151*0.198566176</f>
        <v>0</v>
      </c>
      <c r="AP151" s="51">
        <f>G151*(1-0.198566176)</f>
        <v>0</v>
      </c>
      <c r="AQ151" s="53" t="s">
        <v>149</v>
      </c>
      <c r="AV151" s="51">
        <f t="shared" si="52"/>
        <v>0</v>
      </c>
      <c r="AW151" s="51">
        <f t="shared" si="53"/>
        <v>0</v>
      </c>
      <c r="AX151" s="51">
        <f t="shared" si="54"/>
        <v>0</v>
      </c>
      <c r="AY151" s="53" t="s">
        <v>417</v>
      </c>
      <c r="AZ151" s="53" t="s">
        <v>350</v>
      </c>
      <c r="BA151" s="35" t="s">
        <v>117</v>
      </c>
      <c r="BC151" s="51">
        <f t="shared" si="55"/>
        <v>0</v>
      </c>
      <c r="BD151" s="51">
        <f t="shared" si="56"/>
        <v>0</v>
      </c>
      <c r="BE151" s="51">
        <v>0</v>
      </c>
      <c r="BF151" s="51">
        <f>151</f>
        <v>151</v>
      </c>
      <c r="BH151" s="51">
        <f t="shared" si="57"/>
        <v>0</v>
      </c>
      <c r="BI151" s="51">
        <f t="shared" si="58"/>
        <v>0</v>
      </c>
      <c r="BJ151" s="51">
        <f t="shared" si="59"/>
        <v>0</v>
      </c>
      <c r="BK151" s="53" t="s">
        <v>118</v>
      </c>
      <c r="BL151" s="51">
        <v>725</v>
      </c>
      <c r="BW151" s="51">
        <v>12</v>
      </c>
      <c r="BX151" s="3" t="s">
        <v>432</v>
      </c>
    </row>
    <row r="152" spans="1:76">
      <c r="A152" s="1" t="s">
        <v>433</v>
      </c>
      <c r="B152" s="2" t="s">
        <v>434</v>
      </c>
      <c r="C152" s="75" t="s">
        <v>435</v>
      </c>
      <c r="D152" s="70"/>
      <c r="E152" s="2" t="s">
        <v>114</v>
      </c>
      <c r="F152" s="51">
        <v>1</v>
      </c>
      <c r="G152" s="52">
        <v>0</v>
      </c>
      <c r="H152" s="51">
        <f t="shared" si="40"/>
        <v>0</v>
      </c>
      <c r="J152" s="41"/>
      <c r="Z152" s="51">
        <f t="shared" si="41"/>
        <v>0</v>
      </c>
      <c r="AB152" s="51">
        <f t="shared" si="42"/>
        <v>0</v>
      </c>
      <c r="AC152" s="51">
        <f t="shared" si="43"/>
        <v>0</v>
      </c>
      <c r="AD152" s="51">
        <f t="shared" si="44"/>
        <v>0</v>
      </c>
      <c r="AE152" s="51">
        <f t="shared" si="45"/>
        <v>0</v>
      </c>
      <c r="AF152" s="51">
        <f t="shared" si="46"/>
        <v>0</v>
      </c>
      <c r="AG152" s="51">
        <f t="shared" si="47"/>
        <v>0</v>
      </c>
      <c r="AH152" s="51">
        <f t="shared" si="48"/>
        <v>0</v>
      </c>
      <c r="AI152" s="35" t="s">
        <v>4</v>
      </c>
      <c r="AJ152" s="51">
        <f t="shared" si="49"/>
        <v>0</v>
      </c>
      <c r="AK152" s="51">
        <f t="shared" si="50"/>
        <v>0</v>
      </c>
      <c r="AL152" s="51">
        <f t="shared" si="51"/>
        <v>0</v>
      </c>
      <c r="AN152" s="51">
        <v>12</v>
      </c>
      <c r="AO152" s="51">
        <f>G152*0.900666479</f>
        <v>0</v>
      </c>
      <c r="AP152" s="51">
        <f>G152*(1-0.900666479)</f>
        <v>0</v>
      </c>
      <c r="AQ152" s="53" t="s">
        <v>149</v>
      </c>
      <c r="AV152" s="51">
        <f t="shared" si="52"/>
        <v>0</v>
      </c>
      <c r="AW152" s="51">
        <f t="shared" si="53"/>
        <v>0</v>
      </c>
      <c r="AX152" s="51">
        <f t="shared" si="54"/>
        <v>0</v>
      </c>
      <c r="AY152" s="53" t="s">
        <v>417</v>
      </c>
      <c r="AZ152" s="53" t="s">
        <v>350</v>
      </c>
      <c r="BA152" s="35" t="s">
        <v>117</v>
      </c>
      <c r="BC152" s="51">
        <f t="shared" si="55"/>
        <v>0</v>
      </c>
      <c r="BD152" s="51">
        <f t="shared" si="56"/>
        <v>0</v>
      </c>
      <c r="BE152" s="51">
        <v>0</v>
      </c>
      <c r="BF152" s="51">
        <f>152</f>
        <v>152</v>
      </c>
      <c r="BH152" s="51">
        <f t="shared" si="57"/>
        <v>0</v>
      </c>
      <c r="BI152" s="51">
        <f t="shared" si="58"/>
        <v>0</v>
      </c>
      <c r="BJ152" s="51">
        <f t="shared" si="59"/>
        <v>0</v>
      </c>
      <c r="BK152" s="53" t="s">
        <v>118</v>
      </c>
      <c r="BL152" s="51">
        <v>725</v>
      </c>
      <c r="BW152" s="51">
        <v>12</v>
      </c>
      <c r="BX152" s="3" t="s">
        <v>435</v>
      </c>
    </row>
    <row r="153" spans="1:76" ht="13.5" customHeight="1">
      <c r="A153" s="54"/>
      <c r="B153" s="55" t="s">
        <v>119</v>
      </c>
      <c r="C153" s="152" t="s">
        <v>436</v>
      </c>
      <c r="D153" s="153"/>
      <c r="E153" s="153"/>
      <c r="F153" s="153"/>
      <c r="G153" s="154"/>
      <c r="H153" s="153"/>
      <c r="I153" s="153"/>
      <c r="J153" s="155"/>
    </row>
    <row r="154" spans="1:76">
      <c r="A154" s="1" t="s">
        <v>437</v>
      </c>
      <c r="B154" s="2" t="s">
        <v>438</v>
      </c>
      <c r="C154" s="75" t="s">
        <v>439</v>
      </c>
      <c r="D154" s="70"/>
      <c r="E154" s="2" t="s">
        <v>114</v>
      </c>
      <c r="F154" s="51">
        <v>1</v>
      </c>
      <c r="G154" s="52">
        <v>0</v>
      </c>
      <c r="H154" s="51">
        <f t="shared" ref="H154:H167" si="60">ROUND(F154*G154,2)</f>
        <v>0</v>
      </c>
      <c r="J154" s="41"/>
      <c r="Z154" s="51">
        <f t="shared" ref="Z154:Z167" si="61">ROUND(IF(AQ154="5",BJ154,0),2)</f>
        <v>0</v>
      </c>
      <c r="AB154" s="51">
        <f t="shared" ref="AB154:AB167" si="62">ROUND(IF(AQ154="1",BH154,0),2)</f>
        <v>0</v>
      </c>
      <c r="AC154" s="51">
        <f t="shared" ref="AC154:AC167" si="63">ROUND(IF(AQ154="1",BI154,0),2)</f>
        <v>0</v>
      </c>
      <c r="AD154" s="51">
        <f t="shared" ref="AD154:AD167" si="64">ROUND(IF(AQ154="7",BH154,0),2)</f>
        <v>0</v>
      </c>
      <c r="AE154" s="51">
        <f t="shared" ref="AE154:AE167" si="65">ROUND(IF(AQ154="7",BI154,0),2)</f>
        <v>0</v>
      </c>
      <c r="AF154" s="51">
        <f t="shared" ref="AF154:AF167" si="66">ROUND(IF(AQ154="2",BH154,0),2)</f>
        <v>0</v>
      </c>
      <c r="AG154" s="51">
        <f t="shared" ref="AG154:AG167" si="67">ROUND(IF(AQ154="2",BI154,0),2)</f>
        <v>0</v>
      </c>
      <c r="AH154" s="51">
        <f t="shared" ref="AH154:AH167" si="68">ROUND(IF(AQ154="0",BJ154,0),2)</f>
        <v>0</v>
      </c>
      <c r="AI154" s="35" t="s">
        <v>4</v>
      </c>
      <c r="AJ154" s="51">
        <f t="shared" ref="AJ154:AJ167" si="69">IF(AN154=0,H154,0)</f>
        <v>0</v>
      </c>
      <c r="AK154" s="51">
        <f t="shared" ref="AK154:AK167" si="70">IF(AN154=12,H154,0)</f>
        <v>0</v>
      </c>
      <c r="AL154" s="51">
        <f t="shared" ref="AL154:AL167" si="71">IF(AN154=21,H154,0)</f>
        <v>0</v>
      </c>
      <c r="AN154" s="51">
        <v>12</v>
      </c>
      <c r="AO154" s="51">
        <f>G154*0.802805968</f>
        <v>0</v>
      </c>
      <c r="AP154" s="51">
        <f>G154*(1-0.802805968)</f>
        <v>0</v>
      </c>
      <c r="AQ154" s="53" t="s">
        <v>149</v>
      </c>
      <c r="AV154" s="51">
        <f t="shared" ref="AV154:AV167" si="72">ROUND(AW154+AX154,2)</f>
        <v>0</v>
      </c>
      <c r="AW154" s="51">
        <f t="shared" ref="AW154:AW167" si="73">ROUND(F154*AO154,2)</f>
        <v>0</v>
      </c>
      <c r="AX154" s="51">
        <f t="shared" ref="AX154:AX167" si="74">ROUND(F154*AP154,2)</f>
        <v>0</v>
      </c>
      <c r="AY154" s="53" t="s">
        <v>417</v>
      </c>
      <c r="AZ154" s="53" t="s">
        <v>350</v>
      </c>
      <c r="BA154" s="35" t="s">
        <v>117</v>
      </c>
      <c r="BC154" s="51">
        <f t="shared" ref="BC154:BC167" si="75">AW154+AX154</f>
        <v>0</v>
      </c>
      <c r="BD154" s="51">
        <f t="shared" ref="BD154:BD167" si="76">G154/(100-BE154)*100</f>
        <v>0</v>
      </c>
      <c r="BE154" s="51">
        <v>0</v>
      </c>
      <c r="BF154" s="51">
        <f>154</f>
        <v>154</v>
      </c>
      <c r="BH154" s="51">
        <f t="shared" ref="BH154:BH167" si="77">F154*AO154</f>
        <v>0</v>
      </c>
      <c r="BI154" s="51">
        <f t="shared" ref="BI154:BI167" si="78">F154*AP154</f>
        <v>0</v>
      </c>
      <c r="BJ154" s="51">
        <f t="shared" ref="BJ154:BJ167" si="79">F154*G154</f>
        <v>0</v>
      </c>
      <c r="BK154" s="53" t="s">
        <v>118</v>
      </c>
      <c r="BL154" s="51">
        <v>725</v>
      </c>
      <c r="BW154" s="51">
        <v>12</v>
      </c>
      <c r="BX154" s="3" t="s">
        <v>439</v>
      </c>
    </row>
    <row r="155" spans="1:76">
      <c r="A155" s="1" t="s">
        <v>440</v>
      </c>
      <c r="B155" s="2" t="s">
        <v>441</v>
      </c>
      <c r="C155" s="75" t="s">
        <v>442</v>
      </c>
      <c r="D155" s="70"/>
      <c r="E155" s="2" t="s">
        <v>416</v>
      </c>
      <c r="F155" s="51">
        <v>7</v>
      </c>
      <c r="G155" s="52">
        <v>0</v>
      </c>
      <c r="H155" s="51">
        <f t="shared" si="60"/>
        <v>0</v>
      </c>
      <c r="J155" s="41"/>
      <c r="Z155" s="51">
        <f t="shared" si="61"/>
        <v>0</v>
      </c>
      <c r="AB155" s="51">
        <f t="shared" si="62"/>
        <v>0</v>
      </c>
      <c r="AC155" s="51">
        <f t="shared" si="63"/>
        <v>0</v>
      </c>
      <c r="AD155" s="51">
        <f t="shared" si="64"/>
        <v>0</v>
      </c>
      <c r="AE155" s="51">
        <f t="shared" si="65"/>
        <v>0</v>
      </c>
      <c r="AF155" s="51">
        <f t="shared" si="66"/>
        <v>0</v>
      </c>
      <c r="AG155" s="51">
        <f t="shared" si="67"/>
        <v>0</v>
      </c>
      <c r="AH155" s="51">
        <f t="shared" si="68"/>
        <v>0</v>
      </c>
      <c r="AI155" s="35" t="s">
        <v>4</v>
      </c>
      <c r="AJ155" s="51">
        <f t="shared" si="69"/>
        <v>0</v>
      </c>
      <c r="AK155" s="51">
        <f t="shared" si="70"/>
        <v>0</v>
      </c>
      <c r="AL155" s="51">
        <f t="shared" si="71"/>
        <v>0</v>
      </c>
      <c r="AN155" s="51">
        <v>12</v>
      </c>
      <c r="AO155" s="51">
        <f>G155*0.474794069</f>
        <v>0</v>
      </c>
      <c r="AP155" s="51">
        <f>G155*(1-0.474794069)</f>
        <v>0</v>
      </c>
      <c r="AQ155" s="53" t="s">
        <v>149</v>
      </c>
      <c r="AV155" s="51">
        <f t="shared" si="72"/>
        <v>0</v>
      </c>
      <c r="AW155" s="51">
        <f t="shared" si="73"/>
        <v>0</v>
      </c>
      <c r="AX155" s="51">
        <f t="shared" si="74"/>
        <v>0</v>
      </c>
      <c r="AY155" s="53" t="s">
        <v>417</v>
      </c>
      <c r="AZ155" s="53" t="s">
        <v>350</v>
      </c>
      <c r="BA155" s="35" t="s">
        <v>117</v>
      </c>
      <c r="BC155" s="51">
        <f t="shared" si="75"/>
        <v>0</v>
      </c>
      <c r="BD155" s="51">
        <f t="shared" si="76"/>
        <v>0</v>
      </c>
      <c r="BE155" s="51">
        <v>0</v>
      </c>
      <c r="BF155" s="51">
        <f>155</f>
        <v>155</v>
      </c>
      <c r="BH155" s="51">
        <f t="shared" si="77"/>
        <v>0</v>
      </c>
      <c r="BI155" s="51">
        <f t="shared" si="78"/>
        <v>0</v>
      </c>
      <c r="BJ155" s="51">
        <f t="shared" si="79"/>
        <v>0</v>
      </c>
      <c r="BK155" s="53" t="s">
        <v>118</v>
      </c>
      <c r="BL155" s="51">
        <v>725</v>
      </c>
      <c r="BW155" s="51">
        <v>12</v>
      </c>
      <c r="BX155" s="3" t="s">
        <v>442</v>
      </c>
    </row>
    <row r="156" spans="1:76">
      <c r="A156" s="1" t="s">
        <v>443</v>
      </c>
      <c r="B156" s="2" t="s">
        <v>444</v>
      </c>
      <c r="C156" s="75" t="s">
        <v>445</v>
      </c>
      <c r="D156" s="70"/>
      <c r="E156" s="2" t="s">
        <v>114</v>
      </c>
      <c r="F156" s="51">
        <v>2</v>
      </c>
      <c r="G156" s="52">
        <v>0</v>
      </c>
      <c r="H156" s="51">
        <f t="shared" si="60"/>
        <v>0</v>
      </c>
      <c r="J156" s="41"/>
      <c r="Z156" s="51">
        <f t="shared" si="61"/>
        <v>0</v>
      </c>
      <c r="AB156" s="51">
        <f t="shared" si="62"/>
        <v>0</v>
      </c>
      <c r="AC156" s="51">
        <f t="shared" si="63"/>
        <v>0</v>
      </c>
      <c r="AD156" s="51">
        <f t="shared" si="64"/>
        <v>0</v>
      </c>
      <c r="AE156" s="51">
        <f t="shared" si="65"/>
        <v>0</v>
      </c>
      <c r="AF156" s="51">
        <f t="shared" si="66"/>
        <v>0</v>
      </c>
      <c r="AG156" s="51">
        <f t="shared" si="67"/>
        <v>0</v>
      </c>
      <c r="AH156" s="51">
        <f t="shared" si="68"/>
        <v>0</v>
      </c>
      <c r="AI156" s="35" t="s">
        <v>4</v>
      </c>
      <c r="AJ156" s="51">
        <f t="shared" si="69"/>
        <v>0</v>
      </c>
      <c r="AK156" s="51">
        <f t="shared" si="70"/>
        <v>0</v>
      </c>
      <c r="AL156" s="51">
        <f t="shared" si="71"/>
        <v>0</v>
      </c>
      <c r="AN156" s="51">
        <v>12</v>
      </c>
      <c r="AO156" s="51">
        <f>G156*0.88622221</f>
        <v>0</v>
      </c>
      <c r="AP156" s="51">
        <f>G156*(1-0.88622221)</f>
        <v>0</v>
      </c>
      <c r="AQ156" s="53" t="s">
        <v>149</v>
      </c>
      <c r="AV156" s="51">
        <f t="shared" si="72"/>
        <v>0</v>
      </c>
      <c r="AW156" s="51">
        <f t="shared" si="73"/>
        <v>0</v>
      </c>
      <c r="AX156" s="51">
        <f t="shared" si="74"/>
        <v>0</v>
      </c>
      <c r="AY156" s="53" t="s">
        <v>417</v>
      </c>
      <c r="AZ156" s="53" t="s">
        <v>350</v>
      </c>
      <c r="BA156" s="35" t="s">
        <v>117</v>
      </c>
      <c r="BC156" s="51">
        <f t="shared" si="75"/>
        <v>0</v>
      </c>
      <c r="BD156" s="51">
        <f t="shared" si="76"/>
        <v>0</v>
      </c>
      <c r="BE156" s="51">
        <v>0</v>
      </c>
      <c r="BF156" s="51">
        <f>156</f>
        <v>156</v>
      </c>
      <c r="BH156" s="51">
        <f t="shared" si="77"/>
        <v>0</v>
      </c>
      <c r="BI156" s="51">
        <f t="shared" si="78"/>
        <v>0</v>
      </c>
      <c r="BJ156" s="51">
        <f t="shared" si="79"/>
        <v>0</v>
      </c>
      <c r="BK156" s="53" t="s">
        <v>118</v>
      </c>
      <c r="BL156" s="51">
        <v>725</v>
      </c>
      <c r="BW156" s="51">
        <v>12</v>
      </c>
      <c r="BX156" s="3" t="s">
        <v>445</v>
      </c>
    </row>
    <row r="157" spans="1:76">
      <c r="A157" s="1" t="s">
        <v>446</v>
      </c>
      <c r="B157" s="2" t="s">
        <v>447</v>
      </c>
      <c r="C157" s="75" t="s">
        <v>448</v>
      </c>
      <c r="D157" s="70"/>
      <c r="E157" s="2" t="s">
        <v>114</v>
      </c>
      <c r="F157" s="51">
        <v>1</v>
      </c>
      <c r="G157" s="52">
        <v>0</v>
      </c>
      <c r="H157" s="51">
        <f t="shared" si="60"/>
        <v>0</v>
      </c>
      <c r="J157" s="41"/>
      <c r="Z157" s="51">
        <f t="shared" si="61"/>
        <v>0</v>
      </c>
      <c r="AB157" s="51">
        <f t="shared" si="62"/>
        <v>0</v>
      </c>
      <c r="AC157" s="51">
        <f t="shared" si="63"/>
        <v>0</v>
      </c>
      <c r="AD157" s="51">
        <f t="shared" si="64"/>
        <v>0</v>
      </c>
      <c r="AE157" s="51">
        <f t="shared" si="65"/>
        <v>0</v>
      </c>
      <c r="AF157" s="51">
        <f t="shared" si="66"/>
        <v>0</v>
      </c>
      <c r="AG157" s="51">
        <f t="shared" si="67"/>
        <v>0</v>
      </c>
      <c r="AH157" s="51">
        <f t="shared" si="68"/>
        <v>0</v>
      </c>
      <c r="AI157" s="35" t="s">
        <v>4</v>
      </c>
      <c r="AJ157" s="51">
        <f t="shared" si="69"/>
        <v>0</v>
      </c>
      <c r="AK157" s="51">
        <f t="shared" si="70"/>
        <v>0</v>
      </c>
      <c r="AL157" s="51">
        <f t="shared" si="71"/>
        <v>0</v>
      </c>
      <c r="AN157" s="51">
        <v>12</v>
      </c>
      <c r="AO157" s="51">
        <f>G157*0.826075949</f>
        <v>0</v>
      </c>
      <c r="AP157" s="51">
        <f>G157*(1-0.826075949)</f>
        <v>0</v>
      </c>
      <c r="AQ157" s="53" t="s">
        <v>149</v>
      </c>
      <c r="AV157" s="51">
        <f t="shared" si="72"/>
        <v>0</v>
      </c>
      <c r="AW157" s="51">
        <f t="shared" si="73"/>
        <v>0</v>
      </c>
      <c r="AX157" s="51">
        <f t="shared" si="74"/>
        <v>0</v>
      </c>
      <c r="AY157" s="53" t="s">
        <v>417</v>
      </c>
      <c r="AZ157" s="53" t="s">
        <v>350</v>
      </c>
      <c r="BA157" s="35" t="s">
        <v>117</v>
      </c>
      <c r="BC157" s="51">
        <f t="shared" si="75"/>
        <v>0</v>
      </c>
      <c r="BD157" s="51">
        <f t="shared" si="76"/>
        <v>0</v>
      </c>
      <c r="BE157" s="51">
        <v>0</v>
      </c>
      <c r="BF157" s="51">
        <f>157</f>
        <v>157</v>
      </c>
      <c r="BH157" s="51">
        <f t="shared" si="77"/>
        <v>0</v>
      </c>
      <c r="BI157" s="51">
        <f t="shared" si="78"/>
        <v>0</v>
      </c>
      <c r="BJ157" s="51">
        <f t="shared" si="79"/>
        <v>0</v>
      </c>
      <c r="BK157" s="53" t="s">
        <v>118</v>
      </c>
      <c r="BL157" s="51">
        <v>725</v>
      </c>
      <c r="BW157" s="51">
        <v>12</v>
      </c>
      <c r="BX157" s="3" t="s">
        <v>448</v>
      </c>
    </row>
    <row r="158" spans="1:76">
      <c r="A158" s="1" t="s">
        <v>449</v>
      </c>
      <c r="B158" s="2" t="s">
        <v>450</v>
      </c>
      <c r="C158" s="75" t="s">
        <v>451</v>
      </c>
      <c r="D158" s="70"/>
      <c r="E158" s="2" t="s">
        <v>416</v>
      </c>
      <c r="F158" s="51">
        <v>1</v>
      </c>
      <c r="G158" s="52">
        <v>0</v>
      </c>
      <c r="H158" s="51">
        <f t="shared" si="60"/>
        <v>0</v>
      </c>
      <c r="J158" s="41"/>
      <c r="Z158" s="51">
        <f t="shared" si="61"/>
        <v>0</v>
      </c>
      <c r="AB158" s="51">
        <f t="shared" si="62"/>
        <v>0</v>
      </c>
      <c r="AC158" s="51">
        <f t="shared" si="63"/>
        <v>0</v>
      </c>
      <c r="AD158" s="51">
        <f t="shared" si="64"/>
        <v>0</v>
      </c>
      <c r="AE158" s="51">
        <f t="shared" si="65"/>
        <v>0</v>
      </c>
      <c r="AF158" s="51">
        <f t="shared" si="66"/>
        <v>0</v>
      </c>
      <c r="AG158" s="51">
        <f t="shared" si="67"/>
        <v>0</v>
      </c>
      <c r="AH158" s="51">
        <f t="shared" si="68"/>
        <v>0</v>
      </c>
      <c r="AI158" s="35" t="s">
        <v>4</v>
      </c>
      <c r="AJ158" s="51">
        <f t="shared" si="69"/>
        <v>0</v>
      </c>
      <c r="AK158" s="51">
        <f t="shared" si="70"/>
        <v>0</v>
      </c>
      <c r="AL158" s="51">
        <f t="shared" si="71"/>
        <v>0</v>
      </c>
      <c r="AN158" s="51">
        <v>12</v>
      </c>
      <c r="AO158" s="51">
        <f>G158*0.866443766</f>
        <v>0</v>
      </c>
      <c r="AP158" s="51">
        <f>G158*(1-0.866443766)</f>
        <v>0</v>
      </c>
      <c r="AQ158" s="53" t="s">
        <v>149</v>
      </c>
      <c r="AV158" s="51">
        <f t="shared" si="72"/>
        <v>0</v>
      </c>
      <c r="AW158" s="51">
        <f t="shared" si="73"/>
        <v>0</v>
      </c>
      <c r="AX158" s="51">
        <f t="shared" si="74"/>
        <v>0</v>
      </c>
      <c r="AY158" s="53" t="s">
        <v>417</v>
      </c>
      <c r="AZ158" s="53" t="s">
        <v>350</v>
      </c>
      <c r="BA158" s="35" t="s">
        <v>117</v>
      </c>
      <c r="BC158" s="51">
        <f t="shared" si="75"/>
        <v>0</v>
      </c>
      <c r="BD158" s="51">
        <f t="shared" si="76"/>
        <v>0</v>
      </c>
      <c r="BE158" s="51">
        <v>0</v>
      </c>
      <c r="BF158" s="51">
        <f>158</f>
        <v>158</v>
      </c>
      <c r="BH158" s="51">
        <f t="shared" si="77"/>
        <v>0</v>
      </c>
      <c r="BI158" s="51">
        <f t="shared" si="78"/>
        <v>0</v>
      </c>
      <c r="BJ158" s="51">
        <f t="shared" si="79"/>
        <v>0</v>
      </c>
      <c r="BK158" s="53" t="s">
        <v>118</v>
      </c>
      <c r="BL158" s="51">
        <v>725</v>
      </c>
      <c r="BW158" s="51">
        <v>12</v>
      </c>
      <c r="BX158" s="3" t="s">
        <v>451</v>
      </c>
    </row>
    <row r="159" spans="1:76">
      <c r="A159" s="1" t="s">
        <v>452</v>
      </c>
      <c r="B159" s="2" t="s">
        <v>453</v>
      </c>
      <c r="C159" s="75" t="s">
        <v>454</v>
      </c>
      <c r="D159" s="70"/>
      <c r="E159" s="2" t="s">
        <v>416</v>
      </c>
      <c r="F159" s="51">
        <v>1</v>
      </c>
      <c r="G159" s="52">
        <v>0</v>
      </c>
      <c r="H159" s="51">
        <f t="shared" si="60"/>
        <v>0</v>
      </c>
      <c r="J159" s="41"/>
      <c r="Z159" s="51">
        <f t="shared" si="61"/>
        <v>0</v>
      </c>
      <c r="AB159" s="51">
        <f t="shared" si="62"/>
        <v>0</v>
      </c>
      <c r="AC159" s="51">
        <f t="shared" si="63"/>
        <v>0</v>
      </c>
      <c r="AD159" s="51">
        <f t="shared" si="64"/>
        <v>0</v>
      </c>
      <c r="AE159" s="51">
        <f t="shared" si="65"/>
        <v>0</v>
      </c>
      <c r="AF159" s="51">
        <f t="shared" si="66"/>
        <v>0</v>
      </c>
      <c r="AG159" s="51">
        <f t="shared" si="67"/>
        <v>0</v>
      </c>
      <c r="AH159" s="51">
        <f t="shared" si="68"/>
        <v>0</v>
      </c>
      <c r="AI159" s="35" t="s">
        <v>4</v>
      </c>
      <c r="AJ159" s="51">
        <f t="shared" si="69"/>
        <v>0</v>
      </c>
      <c r="AK159" s="51">
        <f t="shared" si="70"/>
        <v>0</v>
      </c>
      <c r="AL159" s="51">
        <f t="shared" si="71"/>
        <v>0</v>
      </c>
      <c r="AN159" s="51">
        <v>12</v>
      </c>
      <c r="AO159" s="51">
        <f>G159*0.419240045</f>
        <v>0</v>
      </c>
      <c r="AP159" s="51">
        <f>G159*(1-0.419240045)</f>
        <v>0</v>
      </c>
      <c r="AQ159" s="53" t="s">
        <v>149</v>
      </c>
      <c r="AV159" s="51">
        <f t="shared" si="72"/>
        <v>0</v>
      </c>
      <c r="AW159" s="51">
        <f t="shared" si="73"/>
        <v>0</v>
      </c>
      <c r="AX159" s="51">
        <f t="shared" si="74"/>
        <v>0</v>
      </c>
      <c r="AY159" s="53" t="s">
        <v>417</v>
      </c>
      <c r="AZ159" s="53" t="s">
        <v>350</v>
      </c>
      <c r="BA159" s="35" t="s">
        <v>117</v>
      </c>
      <c r="BC159" s="51">
        <f t="shared" si="75"/>
        <v>0</v>
      </c>
      <c r="BD159" s="51">
        <f t="shared" si="76"/>
        <v>0</v>
      </c>
      <c r="BE159" s="51">
        <v>0</v>
      </c>
      <c r="BF159" s="51">
        <f>159</f>
        <v>159</v>
      </c>
      <c r="BH159" s="51">
        <f t="shared" si="77"/>
        <v>0</v>
      </c>
      <c r="BI159" s="51">
        <f t="shared" si="78"/>
        <v>0</v>
      </c>
      <c r="BJ159" s="51">
        <f t="shared" si="79"/>
        <v>0</v>
      </c>
      <c r="BK159" s="53" t="s">
        <v>118</v>
      </c>
      <c r="BL159" s="51">
        <v>725</v>
      </c>
      <c r="BW159" s="51">
        <v>12</v>
      </c>
      <c r="BX159" s="3" t="s">
        <v>454</v>
      </c>
    </row>
    <row r="160" spans="1:76">
      <c r="A160" s="1" t="s">
        <v>455</v>
      </c>
      <c r="B160" s="2" t="s">
        <v>456</v>
      </c>
      <c r="C160" s="75" t="s">
        <v>457</v>
      </c>
      <c r="D160" s="70"/>
      <c r="E160" s="2" t="s">
        <v>416</v>
      </c>
      <c r="F160" s="51">
        <v>1</v>
      </c>
      <c r="G160" s="52">
        <v>0</v>
      </c>
      <c r="H160" s="51">
        <f t="shared" si="60"/>
        <v>0</v>
      </c>
      <c r="J160" s="41"/>
      <c r="Z160" s="51">
        <f t="shared" si="61"/>
        <v>0</v>
      </c>
      <c r="AB160" s="51">
        <f t="shared" si="62"/>
        <v>0</v>
      </c>
      <c r="AC160" s="51">
        <f t="shared" si="63"/>
        <v>0</v>
      </c>
      <c r="AD160" s="51">
        <f t="shared" si="64"/>
        <v>0</v>
      </c>
      <c r="AE160" s="51">
        <f t="shared" si="65"/>
        <v>0</v>
      </c>
      <c r="AF160" s="51">
        <f t="shared" si="66"/>
        <v>0</v>
      </c>
      <c r="AG160" s="51">
        <f t="shared" si="67"/>
        <v>0</v>
      </c>
      <c r="AH160" s="51">
        <f t="shared" si="68"/>
        <v>0</v>
      </c>
      <c r="AI160" s="35" t="s">
        <v>4</v>
      </c>
      <c r="AJ160" s="51">
        <f t="shared" si="69"/>
        <v>0</v>
      </c>
      <c r="AK160" s="51">
        <f t="shared" si="70"/>
        <v>0</v>
      </c>
      <c r="AL160" s="51">
        <f t="shared" si="71"/>
        <v>0</v>
      </c>
      <c r="AN160" s="51">
        <v>12</v>
      </c>
      <c r="AO160" s="51">
        <f>G160*0.894224395</f>
        <v>0</v>
      </c>
      <c r="AP160" s="51">
        <f>G160*(1-0.894224395)</f>
        <v>0</v>
      </c>
      <c r="AQ160" s="53" t="s">
        <v>149</v>
      </c>
      <c r="AV160" s="51">
        <f t="shared" si="72"/>
        <v>0</v>
      </c>
      <c r="AW160" s="51">
        <f t="shared" si="73"/>
        <v>0</v>
      </c>
      <c r="AX160" s="51">
        <f t="shared" si="74"/>
        <v>0</v>
      </c>
      <c r="AY160" s="53" t="s">
        <v>417</v>
      </c>
      <c r="AZ160" s="53" t="s">
        <v>350</v>
      </c>
      <c r="BA160" s="35" t="s">
        <v>117</v>
      </c>
      <c r="BC160" s="51">
        <f t="shared" si="75"/>
        <v>0</v>
      </c>
      <c r="BD160" s="51">
        <f t="shared" si="76"/>
        <v>0</v>
      </c>
      <c r="BE160" s="51">
        <v>0</v>
      </c>
      <c r="BF160" s="51">
        <f>160</f>
        <v>160</v>
      </c>
      <c r="BH160" s="51">
        <f t="shared" si="77"/>
        <v>0</v>
      </c>
      <c r="BI160" s="51">
        <f t="shared" si="78"/>
        <v>0</v>
      </c>
      <c r="BJ160" s="51">
        <f t="shared" si="79"/>
        <v>0</v>
      </c>
      <c r="BK160" s="53" t="s">
        <v>118</v>
      </c>
      <c r="BL160" s="51">
        <v>725</v>
      </c>
      <c r="BW160" s="51">
        <v>12</v>
      </c>
      <c r="BX160" s="3" t="s">
        <v>457</v>
      </c>
    </row>
    <row r="161" spans="1:76">
      <c r="A161" s="1" t="s">
        <v>458</v>
      </c>
      <c r="B161" s="2" t="s">
        <v>459</v>
      </c>
      <c r="C161" s="75" t="s">
        <v>460</v>
      </c>
      <c r="D161" s="70"/>
      <c r="E161" s="2" t="s">
        <v>416</v>
      </c>
      <c r="F161" s="51">
        <v>1</v>
      </c>
      <c r="G161" s="52">
        <v>0</v>
      </c>
      <c r="H161" s="51">
        <f t="shared" si="60"/>
        <v>0</v>
      </c>
      <c r="J161" s="41"/>
      <c r="Z161" s="51">
        <f t="shared" si="61"/>
        <v>0</v>
      </c>
      <c r="AB161" s="51">
        <f t="shared" si="62"/>
        <v>0</v>
      </c>
      <c r="AC161" s="51">
        <f t="shared" si="63"/>
        <v>0</v>
      </c>
      <c r="AD161" s="51">
        <f t="shared" si="64"/>
        <v>0</v>
      </c>
      <c r="AE161" s="51">
        <f t="shared" si="65"/>
        <v>0</v>
      </c>
      <c r="AF161" s="51">
        <f t="shared" si="66"/>
        <v>0</v>
      </c>
      <c r="AG161" s="51">
        <f t="shared" si="67"/>
        <v>0</v>
      </c>
      <c r="AH161" s="51">
        <f t="shared" si="68"/>
        <v>0</v>
      </c>
      <c r="AI161" s="35" t="s">
        <v>4</v>
      </c>
      <c r="AJ161" s="51">
        <f t="shared" si="69"/>
        <v>0</v>
      </c>
      <c r="AK161" s="51">
        <f t="shared" si="70"/>
        <v>0</v>
      </c>
      <c r="AL161" s="51">
        <f t="shared" si="71"/>
        <v>0</v>
      </c>
      <c r="AN161" s="51">
        <v>12</v>
      </c>
      <c r="AO161" s="51">
        <f>G161*0.898312354</f>
        <v>0</v>
      </c>
      <c r="AP161" s="51">
        <f>G161*(1-0.898312354)</f>
        <v>0</v>
      </c>
      <c r="AQ161" s="53" t="s">
        <v>149</v>
      </c>
      <c r="AV161" s="51">
        <f t="shared" si="72"/>
        <v>0</v>
      </c>
      <c r="AW161" s="51">
        <f t="shared" si="73"/>
        <v>0</v>
      </c>
      <c r="AX161" s="51">
        <f t="shared" si="74"/>
        <v>0</v>
      </c>
      <c r="AY161" s="53" t="s">
        <v>417</v>
      </c>
      <c r="AZ161" s="53" t="s">
        <v>350</v>
      </c>
      <c r="BA161" s="35" t="s">
        <v>117</v>
      </c>
      <c r="BC161" s="51">
        <f t="shared" si="75"/>
        <v>0</v>
      </c>
      <c r="BD161" s="51">
        <f t="shared" si="76"/>
        <v>0</v>
      </c>
      <c r="BE161" s="51">
        <v>0</v>
      </c>
      <c r="BF161" s="51">
        <f>161</f>
        <v>161</v>
      </c>
      <c r="BH161" s="51">
        <f t="shared" si="77"/>
        <v>0</v>
      </c>
      <c r="BI161" s="51">
        <f t="shared" si="78"/>
        <v>0</v>
      </c>
      <c r="BJ161" s="51">
        <f t="shared" si="79"/>
        <v>0</v>
      </c>
      <c r="BK161" s="53" t="s">
        <v>118</v>
      </c>
      <c r="BL161" s="51">
        <v>725</v>
      </c>
      <c r="BW161" s="51">
        <v>12</v>
      </c>
      <c r="BX161" s="3" t="s">
        <v>460</v>
      </c>
    </row>
    <row r="162" spans="1:76">
      <c r="A162" s="1" t="s">
        <v>461</v>
      </c>
      <c r="B162" s="2" t="s">
        <v>462</v>
      </c>
      <c r="C162" s="75" t="s">
        <v>463</v>
      </c>
      <c r="D162" s="70"/>
      <c r="E162" s="2" t="s">
        <v>416</v>
      </c>
      <c r="F162" s="51">
        <v>2</v>
      </c>
      <c r="G162" s="52">
        <v>0</v>
      </c>
      <c r="H162" s="51">
        <f t="shared" si="60"/>
        <v>0</v>
      </c>
      <c r="J162" s="41"/>
      <c r="Z162" s="51">
        <f t="shared" si="61"/>
        <v>0</v>
      </c>
      <c r="AB162" s="51">
        <f t="shared" si="62"/>
        <v>0</v>
      </c>
      <c r="AC162" s="51">
        <f t="shared" si="63"/>
        <v>0</v>
      </c>
      <c r="AD162" s="51">
        <f t="shared" si="64"/>
        <v>0</v>
      </c>
      <c r="AE162" s="51">
        <f t="shared" si="65"/>
        <v>0</v>
      </c>
      <c r="AF162" s="51">
        <f t="shared" si="66"/>
        <v>0</v>
      </c>
      <c r="AG162" s="51">
        <f t="shared" si="67"/>
        <v>0</v>
      </c>
      <c r="AH162" s="51">
        <f t="shared" si="68"/>
        <v>0</v>
      </c>
      <c r="AI162" s="35" t="s">
        <v>4</v>
      </c>
      <c r="AJ162" s="51">
        <f t="shared" si="69"/>
        <v>0</v>
      </c>
      <c r="AK162" s="51">
        <f t="shared" si="70"/>
        <v>0</v>
      </c>
      <c r="AL162" s="51">
        <f t="shared" si="71"/>
        <v>0</v>
      </c>
      <c r="AN162" s="51">
        <v>12</v>
      </c>
      <c r="AO162" s="51">
        <f>G162*0.738149851</f>
        <v>0</v>
      </c>
      <c r="AP162" s="51">
        <f>G162*(1-0.738149851)</f>
        <v>0</v>
      </c>
      <c r="AQ162" s="53" t="s">
        <v>149</v>
      </c>
      <c r="AV162" s="51">
        <f t="shared" si="72"/>
        <v>0</v>
      </c>
      <c r="AW162" s="51">
        <f t="shared" si="73"/>
        <v>0</v>
      </c>
      <c r="AX162" s="51">
        <f t="shared" si="74"/>
        <v>0</v>
      </c>
      <c r="AY162" s="53" t="s">
        <v>417</v>
      </c>
      <c r="AZ162" s="53" t="s">
        <v>350</v>
      </c>
      <c r="BA162" s="35" t="s">
        <v>117</v>
      </c>
      <c r="BC162" s="51">
        <f t="shared" si="75"/>
        <v>0</v>
      </c>
      <c r="BD162" s="51">
        <f t="shared" si="76"/>
        <v>0</v>
      </c>
      <c r="BE162" s="51">
        <v>0</v>
      </c>
      <c r="BF162" s="51">
        <f>162</f>
        <v>162</v>
      </c>
      <c r="BH162" s="51">
        <f t="shared" si="77"/>
        <v>0</v>
      </c>
      <c r="BI162" s="51">
        <f t="shared" si="78"/>
        <v>0</v>
      </c>
      <c r="BJ162" s="51">
        <f t="shared" si="79"/>
        <v>0</v>
      </c>
      <c r="BK162" s="53" t="s">
        <v>118</v>
      </c>
      <c r="BL162" s="51">
        <v>725</v>
      </c>
      <c r="BW162" s="51">
        <v>12</v>
      </c>
      <c r="BX162" s="3" t="s">
        <v>463</v>
      </c>
    </row>
    <row r="163" spans="1:76">
      <c r="A163" s="1" t="s">
        <v>464</v>
      </c>
      <c r="B163" s="2" t="s">
        <v>465</v>
      </c>
      <c r="C163" s="75" t="s">
        <v>466</v>
      </c>
      <c r="D163" s="70"/>
      <c r="E163" s="2" t="s">
        <v>416</v>
      </c>
      <c r="F163" s="51">
        <v>2</v>
      </c>
      <c r="G163" s="52">
        <v>0</v>
      </c>
      <c r="H163" s="51">
        <f t="shared" si="60"/>
        <v>0</v>
      </c>
      <c r="J163" s="41"/>
      <c r="Z163" s="51">
        <f t="shared" si="61"/>
        <v>0</v>
      </c>
      <c r="AB163" s="51">
        <f t="shared" si="62"/>
        <v>0</v>
      </c>
      <c r="AC163" s="51">
        <f t="shared" si="63"/>
        <v>0</v>
      </c>
      <c r="AD163" s="51">
        <f t="shared" si="64"/>
        <v>0</v>
      </c>
      <c r="AE163" s="51">
        <f t="shared" si="65"/>
        <v>0</v>
      </c>
      <c r="AF163" s="51">
        <f t="shared" si="66"/>
        <v>0</v>
      </c>
      <c r="AG163" s="51">
        <f t="shared" si="67"/>
        <v>0</v>
      </c>
      <c r="AH163" s="51">
        <f t="shared" si="68"/>
        <v>0</v>
      </c>
      <c r="AI163" s="35" t="s">
        <v>4</v>
      </c>
      <c r="AJ163" s="51">
        <f t="shared" si="69"/>
        <v>0</v>
      </c>
      <c r="AK163" s="51">
        <f t="shared" si="70"/>
        <v>0</v>
      </c>
      <c r="AL163" s="51">
        <f t="shared" si="71"/>
        <v>0</v>
      </c>
      <c r="AN163" s="51">
        <v>12</v>
      </c>
      <c r="AO163" s="51">
        <f>G163*0.749743523</f>
        <v>0</v>
      </c>
      <c r="AP163" s="51">
        <f>G163*(1-0.749743523)</f>
        <v>0</v>
      </c>
      <c r="AQ163" s="53" t="s">
        <v>149</v>
      </c>
      <c r="AV163" s="51">
        <f t="shared" si="72"/>
        <v>0</v>
      </c>
      <c r="AW163" s="51">
        <f t="shared" si="73"/>
        <v>0</v>
      </c>
      <c r="AX163" s="51">
        <f t="shared" si="74"/>
        <v>0</v>
      </c>
      <c r="AY163" s="53" t="s">
        <v>417</v>
      </c>
      <c r="AZ163" s="53" t="s">
        <v>350</v>
      </c>
      <c r="BA163" s="35" t="s">
        <v>117</v>
      </c>
      <c r="BC163" s="51">
        <f t="shared" si="75"/>
        <v>0</v>
      </c>
      <c r="BD163" s="51">
        <f t="shared" si="76"/>
        <v>0</v>
      </c>
      <c r="BE163" s="51">
        <v>0</v>
      </c>
      <c r="BF163" s="51">
        <f>163</f>
        <v>163</v>
      </c>
      <c r="BH163" s="51">
        <f t="shared" si="77"/>
        <v>0</v>
      </c>
      <c r="BI163" s="51">
        <f t="shared" si="78"/>
        <v>0</v>
      </c>
      <c r="BJ163" s="51">
        <f t="shared" si="79"/>
        <v>0</v>
      </c>
      <c r="BK163" s="53" t="s">
        <v>118</v>
      </c>
      <c r="BL163" s="51">
        <v>725</v>
      </c>
      <c r="BW163" s="51">
        <v>12</v>
      </c>
      <c r="BX163" s="3" t="s">
        <v>466</v>
      </c>
    </row>
    <row r="164" spans="1:76">
      <c r="A164" s="1" t="s">
        <v>467</v>
      </c>
      <c r="B164" s="2" t="s">
        <v>468</v>
      </c>
      <c r="C164" s="75" t="s">
        <v>469</v>
      </c>
      <c r="D164" s="70"/>
      <c r="E164" s="2" t="s">
        <v>114</v>
      </c>
      <c r="F164" s="51">
        <v>1</v>
      </c>
      <c r="G164" s="52">
        <v>0</v>
      </c>
      <c r="H164" s="51">
        <f t="shared" si="60"/>
        <v>0</v>
      </c>
      <c r="J164" s="41"/>
      <c r="Z164" s="51">
        <f t="shared" si="61"/>
        <v>0</v>
      </c>
      <c r="AB164" s="51">
        <f t="shared" si="62"/>
        <v>0</v>
      </c>
      <c r="AC164" s="51">
        <f t="shared" si="63"/>
        <v>0</v>
      </c>
      <c r="AD164" s="51">
        <f t="shared" si="64"/>
        <v>0</v>
      </c>
      <c r="AE164" s="51">
        <f t="shared" si="65"/>
        <v>0</v>
      </c>
      <c r="AF164" s="51">
        <f t="shared" si="66"/>
        <v>0</v>
      </c>
      <c r="AG164" s="51">
        <f t="shared" si="67"/>
        <v>0</v>
      </c>
      <c r="AH164" s="51">
        <f t="shared" si="68"/>
        <v>0</v>
      </c>
      <c r="AI164" s="35" t="s">
        <v>4</v>
      </c>
      <c r="AJ164" s="51">
        <f t="shared" si="69"/>
        <v>0</v>
      </c>
      <c r="AK164" s="51">
        <f t="shared" si="70"/>
        <v>0</v>
      </c>
      <c r="AL164" s="51">
        <f t="shared" si="71"/>
        <v>0</v>
      </c>
      <c r="AN164" s="51">
        <v>12</v>
      </c>
      <c r="AO164" s="51">
        <f>G164*1</f>
        <v>0</v>
      </c>
      <c r="AP164" s="51">
        <f>G164*(1-1)</f>
        <v>0</v>
      </c>
      <c r="AQ164" s="53" t="s">
        <v>149</v>
      </c>
      <c r="AV164" s="51">
        <f t="shared" si="72"/>
        <v>0</v>
      </c>
      <c r="AW164" s="51">
        <f t="shared" si="73"/>
        <v>0</v>
      </c>
      <c r="AX164" s="51">
        <f t="shared" si="74"/>
        <v>0</v>
      </c>
      <c r="AY164" s="53" t="s">
        <v>417</v>
      </c>
      <c r="AZ164" s="53" t="s">
        <v>350</v>
      </c>
      <c r="BA164" s="35" t="s">
        <v>117</v>
      </c>
      <c r="BC164" s="51">
        <f t="shared" si="75"/>
        <v>0</v>
      </c>
      <c r="BD164" s="51">
        <f t="shared" si="76"/>
        <v>0</v>
      </c>
      <c r="BE164" s="51">
        <v>0</v>
      </c>
      <c r="BF164" s="51">
        <f>164</f>
        <v>164</v>
      </c>
      <c r="BH164" s="51">
        <f t="shared" si="77"/>
        <v>0</v>
      </c>
      <c r="BI164" s="51">
        <f t="shared" si="78"/>
        <v>0</v>
      </c>
      <c r="BJ164" s="51">
        <f t="shared" si="79"/>
        <v>0</v>
      </c>
      <c r="BK164" s="53" t="s">
        <v>257</v>
      </c>
      <c r="BL164" s="51">
        <v>725</v>
      </c>
      <c r="BW164" s="51">
        <v>12</v>
      </c>
      <c r="BX164" s="3" t="s">
        <v>469</v>
      </c>
    </row>
    <row r="165" spans="1:76">
      <c r="A165" s="1" t="s">
        <v>470</v>
      </c>
      <c r="B165" s="2" t="s">
        <v>471</v>
      </c>
      <c r="C165" s="75" t="s">
        <v>472</v>
      </c>
      <c r="D165" s="70"/>
      <c r="E165" s="2" t="s">
        <v>114</v>
      </c>
      <c r="F165" s="51">
        <v>1</v>
      </c>
      <c r="G165" s="52">
        <v>0</v>
      </c>
      <c r="H165" s="51">
        <f t="shared" si="60"/>
        <v>0</v>
      </c>
      <c r="J165" s="41"/>
      <c r="Z165" s="51">
        <f t="shared" si="61"/>
        <v>0</v>
      </c>
      <c r="AB165" s="51">
        <f t="shared" si="62"/>
        <v>0</v>
      </c>
      <c r="AC165" s="51">
        <f t="shared" si="63"/>
        <v>0</v>
      </c>
      <c r="AD165" s="51">
        <f t="shared" si="64"/>
        <v>0</v>
      </c>
      <c r="AE165" s="51">
        <f t="shared" si="65"/>
        <v>0</v>
      </c>
      <c r="AF165" s="51">
        <f t="shared" si="66"/>
        <v>0</v>
      </c>
      <c r="AG165" s="51">
        <f t="shared" si="67"/>
        <v>0</v>
      </c>
      <c r="AH165" s="51">
        <f t="shared" si="68"/>
        <v>0</v>
      </c>
      <c r="AI165" s="35" t="s">
        <v>4</v>
      </c>
      <c r="AJ165" s="51">
        <f t="shared" si="69"/>
        <v>0</v>
      </c>
      <c r="AK165" s="51">
        <f t="shared" si="70"/>
        <v>0</v>
      </c>
      <c r="AL165" s="51">
        <f t="shared" si="71"/>
        <v>0</v>
      </c>
      <c r="AN165" s="51">
        <v>12</v>
      </c>
      <c r="AO165" s="51">
        <f>G165*1</f>
        <v>0</v>
      </c>
      <c r="AP165" s="51">
        <f>G165*(1-1)</f>
        <v>0</v>
      </c>
      <c r="AQ165" s="53" t="s">
        <v>149</v>
      </c>
      <c r="AV165" s="51">
        <f t="shared" si="72"/>
        <v>0</v>
      </c>
      <c r="AW165" s="51">
        <f t="shared" si="73"/>
        <v>0</v>
      </c>
      <c r="AX165" s="51">
        <f t="shared" si="74"/>
        <v>0</v>
      </c>
      <c r="AY165" s="53" t="s">
        <v>417</v>
      </c>
      <c r="AZ165" s="53" t="s">
        <v>350</v>
      </c>
      <c r="BA165" s="35" t="s">
        <v>117</v>
      </c>
      <c r="BC165" s="51">
        <f t="shared" si="75"/>
        <v>0</v>
      </c>
      <c r="BD165" s="51">
        <f t="shared" si="76"/>
        <v>0</v>
      </c>
      <c r="BE165" s="51">
        <v>0</v>
      </c>
      <c r="BF165" s="51">
        <f>165</f>
        <v>165</v>
      </c>
      <c r="BH165" s="51">
        <f t="shared" si="77"/>
        <v>0</v>
      </c>
      <c r="BI165" s="51">
        <f t="shared" si="78"/>
        <v>0</v>
      </c>
      <c r="BJ165" s="51">
        <f t="shared" si="79"/>
        <v>0</v>
      </c>
      <c r="BK165" s="53" t="s">
        <v>257</v>
      </c>
      <c r="BL165" s="51">
        <v>725</v>
      </c>
      <c r="BW165" s="51">
        <v>12</v>
      </c>
      <c r="BX165" s="3" t="s">
        <v>472</v>
      </c>
    </row>
    <row r="166" spans="1:76">
      <c r="A166" s="1" t="s">
        <v>473</v>
      </c>
      <c r="B166" s="2" t="s">
        <v>474</v>
      </c>
      <c r="C166" s="75" t="s">
        <v>475</v>
      </c>
      <c r="D166" s="70"/>
      <c r="E166" s="2" t="s">
        <v>114</v>
      </c>
      <c r="F166" s="51">
        <v>1</v>
      </c>
      <c r="G166" s="52">
        <v>0</v>
      </c>
      <c r="H166" s="51">
        <f t="shared" si="60"/>
        <v>0</v>
      </c>
      <c r="J166" s="41"/>
      <c r="Z166" s="51">
        <f t="shared" si="61"/>
        <v>0</v>
      </c>
      <c r="AB166" s="51">
        <f t="shared" si="62"/>
        <v>0</v>
      </c>
      <c r="AC166" s="51">
        <f t="shared" si="63"/>
        <v>0</v>
      </c>
      <c r="AD166" s="51">
        <f t="shared" si="64"/>
        <v>0</v>
      </c>
      <c r="AE166" s="51">
        <f t="shared" si="65"/>
        <v>0</v>
      </c>
      <c r="AF166" s="51">
        <f t="shared" si="66"/>
        <v>0</v>
      </c>
      <c r="AG166" s="51">
        <f t="shared" si="67"/>
        <v>0</v>
      </c>
      <c r="AH166" s="51">
        <f t="shared" si="68"/>
        <v>0</v>
      </c>
      <c r="AI166" s="35" t="s">
        <v>4</v>
      </c>
      <c r="AJ166" s="51">
        <f t="shared" si="69"/>
        <v>0</v>
      </c>
      <c r="AK166" s="51">
        <f t="shared" si="70"/>
        <v>0</v>
      </c>
      <c r="AL166" s="51">
        <f t="shared" si="71"/>
        <v>0</v>
      </c>
      <c r="AN166" s="51">
        <v>12</v>
      </c>
      <c r="AO166" s="51">
        <f>G166*1</f>
        <v>0</v>
      </c>
      <c r="AP166" s="51">
        <f>G166*(1-1)</f>
        <v>0</v>
      </c>
      <c r="AQ166" s="53" t="s">
        <v>149</v>
      </c>
      <c r="AV166" s="51">
        <f t="shared" si="72"/>
        <v>0</v>
      </c>
      <c r="AW166" s="51">
        <f t="shared" si="73"/>
        <v>0</v>
      </c>
      <c r="AX166" s="51">
        <f t="shared" si="74"/>
        <v>0</v>
      </c>
      <c r="AY166" s="53" t="s">
        <v>417</v>
      </c>
      <c r="AZ166" s="53" t="s">
        <v>350</v>
      </c>
      <c r="BA166" s="35" t="s">
        <v>117</v>
      </c>
      <c r="BC166" s="51">
        <f t="shared" si="75"/>
        <v>0</v>
      </c>
      <c r="BD166" s="51">
        <f t="shared" si="76"/>
        <v>0</v>
      </c>
      <c r="BE166" s="51">
        <v>0</v>
      </c>
      <c r="BF166" s="51">
        <f>166</f>
        <v>166</v>
      </c>
      <c r="BH166" s="51">
        <f t="shared" si="77"/>
        <v>0</v>
      </c>
      <c r="BI166" s="51">
        <f t="shared" si="78"/>
        <v>0</v>
      </c>
      <c r="BJ166" s="51">
        <f t="shared" si="79"/>
        <v>0</v>
      </c>
      <c r="BK166" s="53" t="s">
        <v>257</v>
      </c>
      <c r="BL166" s="51">
        <v>725</v>
      </c>
      <c r="BW166" s="51">
        <v>12</v>
      </c>
      <c r="BX166" s="3" t="s">
        <v>475</v>
      </c>
    </row>
    <row r="167" spans="1:76">
      <c r="A167" s="1" t="s">
        <v>476</v>
      </c>
      <c r="B167" s="2" t="s">
        <v>477</v>
      </c>
      <c r="C167" s="75" t="s">
        <v>478</v>
      </c>
      <c r="D167" s="70"/>
      <c r="E167" s="2" t="s">
        <v>285</v>
      </c>
      <c r="F167" s="51">
        <v>0.3</v>
      </c>
      <c r="G167" s="52">
        <v>0</v>
      </c>
      <c r="H167" s="51">
        <f t="shared" si="60"/>
        <v>0</v>
      </c>
      <c r="J167" s="41"/>
      <c r="Z167" s="51">
        <f t="shared" si="61"/>
        <v>0</v>
      </c>
      <c r="AB167" s="51">
        <f t="shared" si="62"/>
        <v>0</v>
      </c>
      <c r="AC167" s="51">
        <f t="shared" si="63"/>
        <v>0</v>
      </c>
      <c r="AD167" s="51">
        <f t="shared" si="64"/>
        <v>0</v>
      </c>
      <c r="AE167" s="51">
        <f t="shared" si="65"/>
        <v>0</v>
      </c>
      <c r="AF167" s="51">
        <f t="shared" si="66"/>
        <v>0</v>
      </c>
      <c r="AG167" s="51">
        <f t="shared" si="67"/>
        <v>0</v>
      </c>
      <c r="AH167" s="51">
        <f t="shared" si="68"/>
        <v>0</v>
      </c>
      <c r="AI167" s="35" t="s">
        <v>4</v>
      </c>
      <c r="AJ167" s="51">
        <f t="shared" si="69"/>
        <v>0</v>
      </c>
      <c r="AK167" s="51">
        <f t="shared" si="70"/>
        <v>0</v>
      </c>
      <c r="AL167" s="51">
        <f t="shared" si="71"/>
        <v>0</v>
      </c>
      <c r="AN167" s="51">
        <v>12</v>
      </c>
      <c r="AO167" s="51">
        <f>G167*0</f>
        <v>0</v>
      </c>
      <c r="AP167" s="51">
        <f>G167*(1-0)</f>
        <v>0</v>
      </c>
      <c r="AQ167" s="53" t="s">
        <v>139</v>
      </c>
      <c r="AV167" s="51">
        <f t="shared" si="72"/>
        <v>0</v>
      </c>
      <c r="AW167" s="51">
        <f t="shared" si="73"/>
        <v>0</v>
      </c>
      <c r="AX167" s="51">
        <f t="shared" si="74"/>
        <v>0</v>
      </c>
      <c r="AY167" s="53" t="s">
        <v>417</v>
      </c>
      <c r="AZ167" s="53" t="s">
        <v>350</v>
      </c>
      <c r="BA167" s="35" t="s">
        <v>117</v>
      </c>
      <c r="BC167" s="51">
        <f t="shared" si="75"/>
        <v>0</v>
      </c>
      <c r="BD167" s="51">
        <f t="shared" si="76"/>
        <v>0</v>
      </c>
      <c r="BE167" s="51">
        <v>0</v>
      </c>
      <c r="BF167" s="51">
        <f>167</f>
        <v>167</v>
      </c>
      <c r="BH167" s="51">
        <f t="shared" si="77"/>
        <v>0</v>
      </c>
      <c r="BI167" s="51">
        <f t="shared" si="78"/>
        <v>0</v>
      </c>
      <c r="BJ167" s="51">
        <f t="shared" si="79"/>
        <v>0</v>
      </c>
      <c r="BK167" s="53" t="s">
        <v>118</v>
      </c>
      <c r="BL167" s="51">
        <v>725</v>
      </c>
      <c r="BW167" s="51">
        <v>12</v>
      </c>
      <c r="BX167" s="3" t="s">
        <v>478</v>
      </c>
    </row>
    <row r="168" spans="1:76">
      <c r="A168" s="47" t="s">
        <v>4</v>
      </c>
      <c r="B168" s="48" t="s">
        <v>479</v>
      </c>
      <c r="C168" s="150" t="s">
        <v>480</v>
      </c>
      <c r="D168" s="151"/>
      <c r="E168" s="49" t="s">
        <v>79</v>
      </c>
      <c r="F168" s="49" t="s">
        <v>79</v>
      </c>
      <c r="G168" s="50" t="s">
        <v>79</v>
      </c>
      <c r="H168" s="28">
        <f>SUM(H169:H171)</f>
        <v>0</v>
      </c>
      <c r="J168" s="41"/>
      <c r="AI168" s="35" t="s">
        <v>4</v>
      </c>
      <c r="AS168" s="28">
        <f>SUM(AJ169:AJ171)</f>
        <v>0</v>
      </c>
      <c r="AT168" s="28">
        <f>SUM(AK169:AK171)</f>
        <v>0</v>
      </c>
      <c r="AU168" s="28">
        <f>SUM(AL169:AL171)</f>
        <v>0</v>
      </c>
    </row>
    <row r="169" spans="1:76">
      <c r="A169" s="1" t="s">
        <v>481</v>
      </c>
      <c r="B169" s="2" t="s">
        <v>482</v>
      </c>
      <c r="C169" s="75" t="s">
        <v>483</v>
      </c>
      <c r="D169" s="70"/>
      <c r="E169" s="2" t="s">
        <v>416</v>
      </c>
      <c r="F169" s="51">
        <v>1</v>
      </c>
      <c r="G169" s="52">
        <v>0</v>
      </c>
      <c r="H169" s="51">
        <f>ROUND(F169*G169,2)</f>
        <v>0</v>
      </c>
      <c r="J169" s="41"/>
      <c r="Z169" s="51">
        <f>ROUND(IF(AQ169="5",BJ169,0),2)</f>
        <v>0</v>
      </c>
      <c r="AB169" s="51">
        <f>ROUND(IF(AQ169="1",BH169,0),2)</f>
        <v>0</v>
      </c>
      <c r="AC169" s="51">
        <f>ROUND(IF(AQ169="1",BI169,0),2)</f>
        <v>0</v>
      </c>
      <c r="AD169" s="51">
        <f>ROUND(IF(AQ169="7",BH169,0),2)</f>
        <v>0</v>
      </c>
      <c r="AE169" s="51">
        <f>ROUND(IF(AQ169="7",BI169,0),2)</f>
        <v>0</v>
      </c>
      <c r="AF169" s="51">
        <f>ROUND(IF(AQ169="2",BH169,0),2)</f>
        <v>0</v>
      </c>
      <c r="AG169" s="51">
        <f>ROUND(IF(AQ169="2",BI169,0),2)</f>
        <v>0</v>
      </c>
      <c r="AH169" s="51">
        <f>ROUND(IF(AQ169="0",BJ169,0),2)</f>
        <v>0</v>
      </c>
      <c r="AI169" s="35" t="s">
        <v>4</v>
      </c>
      <c r="AJ169" s="51">
        <f>IF(AN169=0,H169,0)</f>
        <v>0</v>
      </c>
      <c r="AK169" s="51">
        <f>IF(AN169=12,H169,0)</f>
        <v>0</v>
      </c>
      <c r="AL169" s="51">
        <f>IF(AN169=21,H169,0)</f>
        <v>0</v>
      </c>
      <c r="AN169" s="51">
        <v>12</v>
      </c>
      <c r="AO169" s="51">
        <f>G169*0</f>
        <v>0</v>
      </c>
      <c r="AP169" s="51">
        <f>G169*(1-0)</f>
        <v>0</v>
      </c>
      <c r="AQ169" s="53" t="s">
        <v>149</v>
      </c>
      <c r="AV169" s="51">
        <f>ROUND(AW169+AX169,2)</f>
        <v>0</v>
      </c>
      <c r="AW169" s="51">
        <f>ROUND(F169*AO169,2)</f>
        <v>0</v>
      </c>
      <c r="AX169" s="51">
        <f>ROUND(F169*AP169,2)</f>
        <v>0</v>
      </c>
      <c r="AY169" s="53" t="s">
        <v>484</v>
      </c>
      <c r="AZ169" s="53" t="s">
        <v>350</v>
      </c>
      <c r="BA169" s="35" t="s">
        <v>117</v>
      </c>
      <c r="BC169" s="51">
        <f>AW169+AX169</f>
        <v>0</v>
      </c>
      <c r="BD169" s="51">
        <f>G169/(100-BE169)*100</f>
        <v>0</v>
      </c>
      <c r="BE169" s="51">
        <v>0</v>
      </c>
      <c r="BF169" s="51">
        <f>169</f>
        <v>169</v>
      </c>
      <c r="BH169" s="51">
        <f>F169*AO169</f>
        <v>0</v>
      </c>
      <c r="BI169" s="51">
        <f>F169*AP169</f>
        <v>0</v>
      </c>
      <c r="BJ169" s="51">
        <f>F169*G169</f>
        <v>0</v>
      </c>
      <c r="BK169" s="53" t="s">
        <v>118</v>
      </c>
      <c r="BL169" s="51">
        <v>728</v>
      </c>
      <c r="BW169" s="51">
        <v>12</v>
      </c>
      <c r="BX169" s="3" t="s">
        <v>483</v>
      </c>
    </row>
    <row r="170" spans="1:76">
      <c r="A170" s="1" t="s">
        <v>485</v>
      </c>
      <c r="B170" s="2" t="s">
        <v>486</v>
      </c>
      <c r="C170" s="75" t="s">
        <v>487</v>
      </c>
      <c r="D170" s="70"/>
      <c r="E170" s="2" t="s">
        <v>114</v>
      </c>
      <c r="F170" s="51">
        <v>1</v>
      </c>
      <c r="G170" s="52">
        <v>0</v>
      </c>
      <c r="H170" s="51">
        <f>ROUND(F170*G170,2)</f>
        <v>0</v>
      </c>
      <c r="J170" s="41"/>
      <c r="Z170" s="51">
        <f>ROUND(IF(AQ170="5",BJ170,0),2)</f>
        <v>0</v>
      </c>
      <c r="AB170" s="51">
        <f>ROUND(IF(AQ170="1",BH170,0),2)</f>
        <v>0</v>
      </c>
      <c r="AC170" s="51">
        <f>ROUND(IF(AQ170="1",BI170,0),2)</f>
        <v>0</v>
      </c>
      <c r="AD170" s="51">
        <f>ROUND(IF(AQ170="7",BH170,0),2)</f>
        <v>0</v>
      </c>
      <c r="AE170" s="51">
        <f>ROUND(IF(AQ170="7",BI170,0),2)</f>
        <v>0</v>
      </c>
      <c r="AF170" s="51">
        <f>ROUND(IF(AQ170="2",BH170,0),2)</f>
        <v>0</v>
      </c>
      <c r="AG170" s="51">
        <f>ROUND(IF(AQ170="2",BI170,0),2)</f>
        <v>0</v>
      </c>
      <c r="AH170" s="51">
        <f>ROUND(IF(AQ170="0",BJ170,0),2)</f>
        <v>0</v>
      </c>
      <c r="AI170" s="35" t="s">
        <v>4</v>
      </c>
      <c r="AJ170" s="51">
        <f>IF(AN170=0,H170,0)</f>
        <v>0</v>
      </c>
      <c r="AK170" s="51">
        <f>IF(AN170=12,H170,0)</f>
        <v>0</v>
      </c>
      <c r="AL170" s="51">
        <f>IF(AN170=21,H170,0)</f>
        <v>0</v>
      </c>
      <c r="AN170" s="51">
        <v>12</v>
      </c>
      <c r="AO170" s="51">
        <f>G170*0</f>
        <v>0</v>
      </c>
      <c r="AP170" s="51">
        <f>G170*(1-0)</f>
        <v>0</v>
      </c>
      <c r="AQ170" s="53" t="s">
        <v>149</v>
      </c>
      <c r="AV170" s="51">
        <f>ROUND(AW170+AX170,2)</f>
        <v>0</v>
      </c>
      <c r="AW170" s="51">
        <f>ROUND(F170*AO170,2)</f>
        <v>0</v>
      </c>
      <c r="AX170" s="51">
        <f>ROUND(F170*AP170,2)</f>
        <v>0</v>
      </c>
      <c r="AY170" s="53" t="s">
        <v>484</v>
      </c>
      <c r="AZ170" s="53" t="s">
        <v>350</v>
      </c>
      <c r="BA170" s="35" t="s">
        <v>117</v>
      </c>
      <c r="BC170" s="51">
        <f>AW170+AX170</f>
        <v>0</v>
      </c>
      <c r="BD170" s="51">
        <f>G170/(100-BE170)*100</f>
        <v>0</v>
      </c>
      <c r="BE170" s="51">
        <v>0</v>
      </c>
      <c r="BF170" s="51">
        <f>170</f>
        <v>170</v>
      </c>
      <c r="BH170" s="51">
        <f>F170*AO170</f>
        <v>0</v>
      </c>
      <c r="BI170" s="51">
        <f>F170*AP170</f>
        <v>0</v>
      </c>
      <c r="BJ170" s="51">
        <f>F170*G170</f>
        <v>0</v>
      </c>
      <c r="BK170" s="53" t="s">
        <v>118</v>
      </c>
      <c r="BL170" s="51">
        <v>728</v>
      </c>
      <c r="BW170" s="51">
        <v>12</v>
      </c>
      <c r="BX170" s="3" t="s">
        <v>487</v>
      </c>
    </row>
    <row r="171" spans="1:76">
      <c r="A171" s="1" t="s">
        <v>488</v>
      </c>
      <c r="B171" s="2" t="s">
        <v>489</v>
      </c>
      <c r="C171" s="75" t="s">
        <v>490</v>
      </c>
      <c r="D171" s="70"/>
      <c r="E171" s="2" t="s">
        <v>114</v>
      </c>
      <c r="F171" s="51">
        <v>1</v>
      </c>
      <c r="G171" s="52">
        <v>0</v>
      </c>
      <c r="H171" s="51">
        <f>ROUND(F171*G171,2)</f>
        <v>0</v>
      </c>
      <c r="J171" s="41"/>
      <c r="Z171" s="51">
        <f>ROUND(IF(AQ171="5",BJ171,0),2)</f>
        <v>0</v>
      </c>
      <c r="AB171" s="51">
        <f>ROUND(IF(AQ171="1",BH171,0),2)</f>
        <v>0</v>
      </c>
      <c r="AC171" s="51">
        <f>ROUND(IF(AQ171="1",BI171,0),2)</f>
        <v>0</v>
      </c>
      <c r="AD171" s="51">
        <f>ROUND(IF(AQ171="7",BH171,0),2)</f>
        <v>0</v>
      </c>
      <c r="AE171" s="51">
        <f>ROUND(IF(AQ171="7",BI171,0),2)</f>
        <v>0</v>
      </c>
      <c r="AF171" s="51">
        <f>ROUND(IF(AQ171="2",BH171,0),2)</f>
        <v>0</v>
      </c>
      <c r="AG171" s="51">
        <f>ROUND(IF(AQ171="2",BI171,0),2)</f>
        <v>0</v>
      </c>
      <c r="AH171" s="51">
        <f>ROUND(IF(AQ171="0",BJ171,0),2)</f>
        <v>0</v>
      </c>
      <c r="AI171" s="35" t="s">
        <v>4</v>
      </c>
      <c r="AJ171" s="51">
        <f>IF(AN171=0,H171,0)</f>
        <v>0</v>
      </c>
      <c r="AK171" s="51">
        <f>IF(AN171=12,H171,0)</f>
        <v>0</v>
      </c>
      <c r="AL171" s="51">
        <f>IF(AN171=21,H171,0)</f>
        <v>0</v>
      </c>
      <c r="AN171" s="51">
        <v>12</v>
      </c>
      <c r="AO171" s="51">
        <f>G171*1</f>
        <v>0</v>
      </c>
      <c r="AP171" s="51">
        <f>G171*(1-1)</f>
        <v>0</v>
      </c>
      <c r="AQ171" s="53" t="s">
        <v>149</v>
      </c>
      <c r="AV171" s="51">
        <f>ROUND(AW171+AX171,2)</f>
        <v>0</v>
      </c>
      <c r="AW171" s="51">
        <f>ROUND(F171*AO171,2)</f>
        <v>0</v>
      </c>
      <c r="AX171" s="51">
        <f>ROUND(F171*AP171,2)</f>
        <v>0</v>
      </c>
      <c r="AY171" s="53" t="s">
        <v>484</v>
      </c>
      <c r="AZ171" s="53" t="s">
        <v>350</v>
      </c>
      <c r="BA171" s="35" t="s">
        <v>117</v>
      </c>
      <c r="BC171" s="51">
        <f>AW171+AX171</f>
        <v>0</v>
      </c>
      <c r="BD171" s="51">
        <f>G171/(100-BE171)*100</f>
        <v>0</v>
      </c>
      <c r="BE171" s="51">
        <v>0</v>
      </c>
      <c r="BF171" s="51">
        <f>171</f>
        <v>171</v>
      </c>
      <c r="BH171" s="51">
        <f>F171*AO171</f>
        <v>0</v>
      </c>
      <c r="BI171" s="51">
        <f>F171*AP171</f>
        <v>0</v>
      </c>
      <c r="BJ171" s="51">
        <f>F171*G171</f>
        <v>0</v>
      </c>
      <c r="BK171" s="53" t="s">
        <v>257</v>
      </c>
      <c r="BL171" s="51">
        <v>728</v>
      </c>
      <c r="BW171" s="51">
        <v>12</v>
      </c>
      <c r="BX171" s="3" t="s">
        <v>490</v>
      </c>
    </row>
    <row r="172" spans="1:76">
      <c r="A172" s="47" t="s">
        <v>4</v>
      </c>
      <c r="B172" s="48" t="s">
        <v>491</v>
      </c>
      <c r="C172" s="150" t="s">
        <v>492</v>
      </c>
      <c r="D172" s="151"/>
      <c r="E172" s="49" t="s">
        <v>79</v>
      </c>
      <c r="F172" s="49" t="s">
        <v>79</v>
      </c>
      <c r="G172" s="50" t="s">
        <v>79</v>
      </c>
      <c r="H172" s="28">
        <f>SUM(H173:H173)</f>
        <v>0</v>
      </c>
      <c r="J172" s="41"/>
      <c r="AI172" s="35" t="s">
        <v>4</v>
      </c>
      <c r="AS172" s="28">
        <f>SUM(AJ173:AJ173)</f>
        <v>0</v>
      </c>
      <c r="AT172" s="28">
        <f>SUM(AK173:AK173)</f>
        <v>0</v>
      </c>
      <c r="AU172" s="28">
        <f>SUM(AL173:AL173)</f>
        <v>0</v>
      </c>
    </row>
    <row r="173" spans="1:76">
      <c r="A173" s="1" t="s">
        <v>493</v>
      </c>
      <c r="B173" s="2" t="s">
        <v>494</v>
      </c>
      <c r="C173" s="75" t="s">
        <v>495</v>
      </c>
      <c r="D173" s="70"/>
      <c r="E173" s="2" t="s">
        <v>252</v>
      </c>
      <c r="F173" s="51">
        <v>1</v>
      </c>
      <c r="G173" s="52">
        <v>0</v>
      </c>
      <c r="H173" s="51">
        <f>ROUND(F173*G173,2)</f>
        <v>0</v>
      </c>
      <c r="J173" s="41"/>
      <c r="Z173" s="51">
        <f>ROUND(IF(AQ173="5",BJ173,0),2)</f>
        <v>0</v>
      </c>
      <c r="AB173" s="51">
        <f>ROUND(IF(AQ173="1",BH173,0),2)</f>
        <v>0</v>
      </c>
      <c r="AC173" s="51">
        <f>ROUND(IF(AQ173="1",BI173,0),2)</f>
        <v>0</v>
      </c>
      <c r="AD173" s="51">
        <f>ROUND(IF(AQ173="7",BH173,0),2)</f>
        <v>0</v>
      </c>
      <c r="AE173" s="51">
        <f>ROUND(IF(AQ173="7",BI173,0),2)</f>
        <v>0</v>
      </c>
      <c r="AF173" s="51">
        <f>ROUND(IF(AQ173="2",BH173,0),2)</f>
        <v>0</v>
      </c>
      <c r="AG173" s="51">
        <f>ROUND(IF(AQ173="2",BI173,0),2)</f>
        <v>0</v>
      </c>
      <c r="AH173" s="51">
        <f>ROUND(IF(AQ173="0",BJ173,0),2)</f>
        <v>0</v>
      </c>
      <c r="AI173" s="35" t="s">
        <v>4</v>
      </c>
      <c r="AJ173" s="51">
        <f>IF(AN173=0,H173,0)</f>
        <v>0</v>
      </c>
      <c r="AK173" s="51">
        <f>IF(AN173=12,H173,0)</f>
        <v>0</v>
      </c>
      <c r="AL173" s="51">
        <f>IF(AN173=21,H173,0)</f>
        <v>0</v>
      </c>
      <c r="AN173" s="51">
        <v>12</v>
      </c>
      <c r="AO173" s="51">
        <f>G173*0.3452</f>
        <v>0</v>
      </c>
      <c r="AP173" s="51">
        <f>G173*(1-0.3452)</f>
        <v>0</v>
      </c>
      <c r="AQ173" s="53" t="s">
        <v>149</v>
      </c>
      <c r="AV173" s="51">
        <f>ROUND(AW173+AX173,2)</f>
        <v>0</v>
      </c>
      <c r="AW173" s="51">
        <f>ROUND(F173*AO173,2)</f>
        <v>0</v>
      </c>
      <c r="AX173" s="51">
        <f>ROUND(F173*AP173,2)</f>
        <v>0</v>
      </c>
      <c r="AY173" s="53" t="s">
        <v>496</v>
      </c>
      <c r="AZ173" s="53" t="s">
        <v>497</v>
      </c>
      <c r="BA173" s="35" t="s">
        <v>117</v>
      </c>
      <c r="BC173" s="51">
        <f>AW173+AX173</f>
        <v>0</v>
      </c>
      <c r="BD173" s="51">
        <f>G173/(100-BE173)*100</f>
        <v>0</v>
      </c>
      <c r="BE173" s="51">
        <v>0</v>
      </c>
      <c r="BF173" s="51">
        <f>173</f>
        <v>173</v>
      </c>
      <c r="BH173" s="51">
        <f>F173*AO173</f>
        <v>0</v>
      </c>
      <c r="BI173" s="51">
        <f>F173*AP173</f>
        <v>0</v>
      </c>
      <c r="BJ173" s="51">
        <f>F173*G173</f>
        <v>0</v>
      </c>
      <c r="BK173" s="53" t="s">
        <v>118</v>
      </c>
      <c r="BL173" s="51">
        <v>735</v>
      </c>
      <c r="BW173" s="51">
        <v>12</v>
      </c>
      <c r="BX173" s="3" t="s">
        <v>495</v>
      </c>
    </row>
    <row r="174" spans="1:76">
      <c r="A174" s="47" t="s">
        <v>4</v>
      </c>
      <c r="B174" s="48" t="s">
        <v>498</v>
      </c>
      <c r="C174" s="150" t="s">
        <v>499</v>
      </c>
      <c r="D174" s="151"/>
      <c r="E174" s="49" t="s">
        <v>79</v>
      </c>
      <c r="F174" s="49" t="s">
        <v>79</v>
      </c>
      <c r="G174" s="50" t="s">
        <v>79</v>
      </c>
      <c r="H174" s="28">
        <f>SUM(H175:H189)</f>
        <v>0</v>
      </c>
      <c r="J174" s="41"/>
      <c r="AI174" s="35" t="s">
        <v>4</v>
      </c>
      <c r="AS174" s="28">
        <f>SUM(AJ175:AJ189)</f>
        <v>0</v>
      </c>
      <c r="AT174" s="28">
        <f>SUM(AK175:AK189)</f>
        <v>0</v>
      </c>
      <c r="AU174" s="28">
        <f>SUM(AL175:AL189)</f>
        <v>0</v>
      </c>
    </row>
    <row r="175" spans="1:76">
      <c r="A175" s="1" t="s">
        <v>500</v>
      </c>
      <c r="B175" s="2" t="s">
        <v>501</v>
      </c>
      <c r="C175" s="75" t="s">
        <v>502</v>
      </c>
      <c r="D175" s="70"/>
      <c r="E175" s="2" t="s">
        <v>114</v>
      </c>
      <c r="F175" s="51">
        <v>3</v>
      </c>
      <c r="G175" s="52">
        <v>0</v>
      </c>
      <c r="H175" s="51">
        <f t="shared" ref="H175:H184" si="80">ROUND(F175*G175,2)</f>
        <v>0</v>
      </c>
      <c r="J175" s="41"/>
      <c r="Z175" s="51">
        <f t="shared" ref="Z175:Z184" si="81">ROUND(IF(AQ175="5",BJ175,0),2)</f>
        <v>0</v>
      </c>
      <c r="AB175" s="51">
        <f t="shared" ref="AB175:AB184" si="82">ROUND(IF(AQ175="1",BH175,0),2)</f>
        <v>0</v>
      </c>
      <c r="AC175" s="51">
        <f t="shared" ref="AC175:AC184" si="83">ROUND(IF(AQ175="1",BI175,0),2)</f>
        <v>0</v>
      </c>
      <c r="AD175" s="51">
        <f t="shared" ref="AD175:AD184" si="84">ROUND(IF(AQ175="7",BH175,0),2)</f>
        <v>0</v>
      </c>
      <c r="AE175" s="51">
        <f t="shared" ref="AE175:AE184" si="85">ROUND(IF(AQ175="7",BI175,0),2)</f>
        <v>0</v>
      </c>
      <c r="AF175" s="51">
        <f t="shared" ref="AF175:AF184" si="86">ROUND(IF(AQ175="2",BH175,0),2)</f>
        <v>0</v>
      </c>
      <c r="AG175" s="51">
        <f t="shared" ref="AG175:AG184" si="87">ROUND(IF(AQ175="2",BI175,0),2)</f>
        <v>0</v>
      </c>
      <c r="AH175" s="51">
        <f t="shared" ref="AH175:AH184" si="88">ROUND(IF(AQ175="0",BJ175,0),2)</f>
        <v>0</v>
      </c>
      <c r="AI175" s="35" t="s">
        <v>4</v>
      </c>
      <c r="AJ175" s="51">
        <f t="shared" ref="AJ175:AJ184" si="89">IF(AN175=0,H175,0)</f>
        <v>0</v>
      </c>
      <c r="AK175" s="51">
        <f t="shared" ref="AK175:AK184" si="90">IF(AN175=12,H175,0)</f>
        <v>0</v>
      </c>
      <c r="AL175" s="51">
        <f t="shared" ref="AL175:AL184" si="91">IF(AN175=21,H175,0)</f>
        <v>0</v>
      </c>
      <c r="AN175" s="51">
        <v>12</v>
      </c>
      <c r="AO175" s="51">
        <f t="shared" ref="AO175:AO183" si="92">G175*0</f>
        <v>0</v>
      </c>
      <c r="AP175" s="51">
        <f t="shared" ref="AP175:AP183" si="93">G175*(1-0)</f>
        <v>0</v>
      </c>
      <c r="AQ175" s="53" t="s">
        <v>149</v>
      </c>
      <c r="AV175" s="51">
        <f t="shared" ref="AV175:AV184" si="94">ROUND(AW175+AX175,2)</f>
        <v>0</v>
      </c>
      <c r="AW175" s="51">
        <f t="shared" ref="AW175:AW184" si="95">ROUND(F175*AO175,2)</f>
        <v>0</v>
      </c>
      <c r="AX175" s="51">
        <f t="shared" ref="AX175:AX184" si="96">ROUND(F175*AP175,2)</f>
        <v>0</v>
      </c>
      <c r="AY175" s="53" t="s">
        <v>503</v>
      </c>
      <c r="AZ175" s="53" t="s">
        <v>504</v>
      </c>
      <c r="BA175" s="35" t="s">
        <v>117</v>
      </c>
      <c r="BC175" s="51">
        <f t="shared" ref="BC175:BC184" si="97">AW175+AX175</f>
        <v>0</v>
      </c>
      <c r="BD175" s="51">
        <f t="shared" ref="BD175:BD184" si="98">G175/(100-BE175)*100</f>
        <v>0</v>
      </c>
      <c r="BE175" s="51">
        <v>0</v>
      </c>
      <c r="BF175" s="51">
        <f>175</f>
        <v>175</v>
      </c>
      <c r="BH175" s="51">
        <f t="shared" ref="BH175:BH184" si="99">F175*AO175</f>
        <v>0</v>
      </c>
      <c r="BI175" s="51">
        <f t="shared" ref="BI175:BI184" si="100">F175*AP175</f>
        <v>0</v>
      </c>
      <c r="BJ175" s="51">
        <f t="shared" ref="BJ175:BJ184" si="101">F175*G175</f>
        <v>0</v>
      </c>
      <c r="BK175" s="53" t="s">
        <v>118</v>
      </c>
      <c r="BL175" s="51">
        <v>766</v>
      </c>
      <c r="BW175" s="51">
        <v>12</v>
      </c>
      <c r="BX175" s="3" t="s">
        <v>502</v>
      </c>
    </row>
    <row r="176" spans="1:76">
      <c r="A176" s="1" t="s">
        <v>505</v>
      </c>
      <c r="B176" s="2" t="s">
        <v>506</v>
      </c>
      <c r="C176" s="75" t="s">
        <v>507</v>
      </c>
      <c r="D176" s="70"/>
      <c r="E176" s="2" t="s">
        <v>114</v>
      </c>
      <c r="F176" s="51">
        <v>1</v>
      </c>
      <c r="G176" s="52">
        <v>0</v>
      </c>
      <c r="H176" s="51">
        <f t="shared" si="80"/>
        <v>0</v>
      </c>
      <c r="J176" s="41"/>
      <c r="Z176" s="51">
        <f t="shared" si="81"/>
        <v>0</v>
      </c>
      <c r="AB176" s="51">
        <f t="shared" si="82"/>
        <v>0</v>
      </c>
      <c r="AC176" s="51">
        <f t="shared" si="83"/>
        <v>0</v>
      </c>
      <c r="AD176" s="51">
        <f t="shared" si="84"/>
        <v>0</v>
      </c>
      <c r="AE176" s="51">
        <f t="shared" si="85"/>
        <v>0</v>
      </c>
      <c r="AF176" s="51">
        <f t="shared" si="86"/>
        <v>0</v>
      </c>
      <c r="AG176" s="51">
        <f t="shared" si="87"/>
        <v>0</v>
      </c>
      <c r="AH176" s="51">
        <f t="shared" si="88"/>
        <v>0</v>
      </c>
      <c r="AI176" s="35" t="s">
        <v>4</v>
      </c>
      <c r="AJ176" s="51">
        <f t="shared" si="89"/>
        <v>0</v>
      </c>
      <c r="AK176" s="51">
        <f t="shared" si="90"/>
        <v>0</v>
      </c>
      <c r="AL176" s="51">
        <f t="shared" si="91"/>
        <v>0</v>
      </c>
      <c r="AN176" s="51">
        <v>12</v>
      </c>
      <c r="AO176" s="51">
        <f t="shared" si="92"/>
        <v>0</v>
      </c>
      <c r="AP176" s="51">
        <f t="shared" si="93"/>
        <v>0</v>
      </c>
      <c r="AQ176" s="53" t="s">
        <v>149</v>
      </c>
      <c r="AV176" s="51">
        <f t="shared" si="94"/>
        <v>0</v>
      </c>
      <c r="AW176" s="51">
        <f t="shared" si="95"/>
        <v>0</v>
      </c>
      <c r="AX176" s="51">
        <f t="shared" si="96"/>
        <v>0</v>
      </c>
      <c r="AY176" s="53" t="s">
        <v>503</v>
      </c>
      <c r="AZ176" s="53" t="s">
        <v>504</v>
      </c>
      <c r="BA176" s="35" t="s">
        <v>117</v>
      </c>
      <c r="BC176" s="51">
        <f t="shared" si="97"/>
        <v>0</v>
      </c>
      <c r="BD176" s="51">
        <f t="shared" si="98"/>
        <v>0</v>
      </c>
      <c r="BE176" s="51">
        <v>0</v>
      </c>
      <c r="BF176" s="51">
        <f>176</f>
        <v>176</v>
      </c>
      <c r="BH176" s="51">
        <f t="shared" si="99"/>
        <v>0</v>
      </c>
      <c r="BI176" s="51">
        <f t="shared" si="100"/>
        <v>0</v>
      </c>
      <c r="BJ176" s="51">
        <f t="shared" si="101"/>
        <v>0</v>
      </c>
      <c r="BK176" s="53" t="s">
        <v>118</v>
      </c>
      <c r="BL176" s="51">
        <v>766</v>
      </c>
      <c r="BW176" s="51">
        <v>12</v>
      </c>
      <c r="BX176" s="3" t="s">
        <v>507</v>
      </c>
    </row>
    <row r="177" spans="1:76">
      <c r="A177" s="1" t="s">
        <v>508</v>
      </c>
      <c r="B177" s="2" t="s">
        <v>509</v>
      </c>
      <c r="C177" s="75" t="s">
        <v>510</v>
      </c>
      <c r="D177" s="70"/>
      <c r="E177" s="2" t="s">
        <v>114</v>
      </c>
      <c r="F177" s="51">
        <v>2</v>
      </c>
      <c r="G177" s="52">
        <v>0</v>
      </c>
      <c r="H177" s="51">
        <f t="shared" si="80"/>
        <v>0</v>
      </c>
      <c r="J177" s="41"/>
      <c r="Z177" s="51">
        <f t="shared" si="81"/>
        <v>0</v>
      </c>
      <c r="AB177" s="51">
        <f t="shared" si="82"/>
        <v>0</v>
      </c>
      <c r="AC177" s="51">
        <f t="shared" si="83"/>
        <v>0</v>
      </c>
      <c r="AD177" s="51">
        <f t="shared" si="84"/>
        <v>0</v>
      </c>
      <c r="AE177" s="51">
        <f t="shared" si="85"/>
        <v>0</v>
      </c>
      <c r="AF177" s="51">
        <f t="shared" si="86"/>
        <v>0</v>
      </c>
      <c r="AG177" s="51">
        <f t="shared" si="87"/>
        <v>0</v>
      </c>
      <c r="AH177" s="51">
        <f t="shared" si="88"/>
        <v>0</v>
      </c>
      <c r="AI177" s="35" t="s">
        <v>4</v>
      </c>
      <c r="AJ177" s="51">
        <f t="shared" si="89"/>
        <v>0</v>
      </c>
      <c r="AK177" s="51">
        <f t="shared" si="90"/>
        <v>0</v>
      </c>
      <c r="AL177" s="51">
        <f t="shared" si="91"/>
        <v>0</v>
      </c>
      <c r="AN177" s="51">
        <v>12</v>
      </c>
      <c r="AO177" s="51">
        <f t="shared" si="92"/>
        <v>0</v>
      </c>
      <c r="AP177" s="51">
        <f t="shared" si="93"/>
        <v>0</v>
      </c>
      <c r="AQ177" s="53" t="s">
        <v>149</v>
      </c>
      <c r="AV177" s="51">
        <f t="shared" si="94"/>
        <v>0</v>
      </c>
      <c r="AW177" s="51">
        <f t="shared" si="95"/>
        <v>0</v>
      </c>
      <c r="AX177" s="51">
        <f t="shared" si="96"/>
        <v>0</v>
      </c>
      <c r="AY177" s="53" t="s">
        <v>503</v>
      </c>
      <c r="AZ177" s="53" t="s">
        <v>504</v>
      </c>
      <c r="BA177" s="35" t="s">
        <v>117</v>
      </c>
      <c r="BC177" s="51">
        <f t="shared" si="97"/>
        <v>0</v>
      </c>
      <c r="BD177" s="51">
        <f t="shared" si="98"/>
        <v>0</v>
      </c>
      <c r="BE177" s="51">
        <v>0</v>
      </c>
      <c r="BF177" s="51">
        <f>177</f>
        <v>177</v>
      </c>
      <c r="BH177" s="51">
        <f t="shared" si="99"/>
        <v>0</v>
      </c>
      <c r="BI177" s="51">
        <f t="shared" si="100"/>
        <v>0</v>
      </c>
      <c r="BJ177" s="51">
        <f t="shared" si="101"/>
        <v>0</v>
      </c>
      <c r="BK177" s="53" t="s">
        <v>118</v>
      </c>
      <c r="BL177" s="51">
        <v>766</v>
      </c>
      <c r="BW177" s="51">
        <v>12</v>
      </c>
      <c r="BX177" s="3" t="s">
        <v>510</v>
      </c>
    </row>
    <row r="178" spans="1:76">
      <c r="A178" s="1" t="s">
        <v>511</v>
      </c>
      <c r="B178" s="2" t="s">
        <v>512</v>
      </c>
      <c r="C178" s="75" t="s">
        <v>513</v>
      </c>
      <c r="D178" s="70"/>
      <c r="E178" s="2" t="s">
        <v>114</v>
      </c>
      <c r="F178" s="51">
        <v>1</v>
      </c>
      <c r="G178" s="52">
        <v>0</v>
      </c>
      <c r="H178" s="51">
        <f t="shared" si="80"/>
        <v>0</v>
      </c>
      <c r="J178" s="41"/>
      <c r="Z178" s="51">
        <f t="shared" si="81"/>
        <v>0</v>
      </c>
      <c r="AB178" s="51">
        <f t="shared" si="82"/>
        <v>0</v>
      </c>
      <c r="AC178" s="51">
        <f t="shared" si="83"/>
        <v>0</v>
      </c>
      <c r="AD178" s="51">
        <f t="shared" si="84"/>
        <v>0</v>
      </c>
      <c r="AE178" s="51">
        <f t="shared" si="85"/>
        <v>0</v>
      </c>
      <c r="AF178" s="51">
        <f t="shared" si="86"/>
        <v>0</v>
      </c>
      <c r="AG178" s="51">
        <f t="shared" si="87"/>
        <v>0</v>
      </c>
      <c r="AH178" s="51">
        <f t="shared" si="88"/>
        <v>0</v>
      </c>
      <c r="AI178" s="35" t="s">
        <v>4</v>
      </c>
      <c r="AJ178" s="51">
        <f t="shared" si="89"/>
        <v>0</v>
      </c>
      <c r="AK178" s="51">
        <f t="shared" si="90"/>
        <v>0</v>
      </c>
      <c r="AL178" s="51">
        <f t="shared" si="91"/>
        <v>0</v>
      </c>
      <c r="AN178" s="51">
        <v>12</v>
      </c>
      <c r="AO178" s="51">
        <f t="shared" si="92"/>
        <v>0</v>
      </c>
      <c r="AP178" s="51">
        <f t="shared" si="93"/>
        <v>0</v>
      </c>
      <c r="AQ178" s="53" t="s">
        <v>149</v>
      </c>
      <c r="AV178" s="51">
        <f t="shared" si="94"/>
        <v>0</v>
      </c>
      <c r="AW178" s="51">
        <f t="shared" si="95"/>
        <v>0</v>
      </c>
      <c r="AX178" s="51">
        <f t="shared" si="96"/>
        <v>0</v>
      </c>
      <c r="AY178" s="53" t="s">
        <v>503</v>
      </c>
      <c r="AZ178" s="53" t="s">
        <v>504</v>
      </c>
      <c r="BA178" s="35" t="s">
        <v>117</v>
      </c>
      <c r="BC178" s="51">
        <f t="shared" si="97"/>
        <v>0</v>
      </c>
      <c r="BD178" s="51">
        <f t="shared" si="98"/>
        <v>0</v>
      </c>
      <c r="BE178" s="51">
        <v>0</v>
      </c>
      <c r="BF178" s="51">
        <f>178</f>
        <v>178</v>
      </c>
      <c r="BH178" s="51">
        <f t="shared" si="99"/>
        <v>0</v>
      </c>
      <c r="BI178" s="51">
        <f t="shared" si="100"/>
        <v>0</v>
      </c>
      <c r="BJ178" s="51">
        <f t="shared" si="101"/>
        <v>0</v>
      </c>
      <c r="BK178" s="53" t="s">
        <v>118</v>
      </c>
      <c r="BL178" s="51">
        <v>766</v>
      </c>
      <c r="BW178" s="51">
        <v>12</v>
      </c>
      <c r="BX178" s="3" t="s">
        <v>513</v>
      </c>
    </row>
    <row r="179" spans="1:76">
      <c r="A179" s="1" t="s">
        <v>514</v>
      </c>
      <c r="B179" s="2" t="s">
        <v>515</v>
      </c>
      <c r="C179" s="75" t="s">
        <v>516</v>
      </c>
      <c r="D179" s="70"/>
      <c r="E179" s="2" t="s">
        <v>114</v>
      </c>
      <c r="F179" s="51">
        <v>3</v>
      </c>
      <c r="G179" s="52">
        <v>0</v>
      </c>
      <c r="H179" s="51">
        <f t="shared" si="80"/>
        <v>0</v>
      </c>
      <c r="J179" s="41"/>
      <c r="Z179" s="51">
        <f t="shared" si="81"/>
        <v>0</v>
      </c>
      <c r="AB179" s="51">
        <f t="shared" si="82"/>
        <v>0</v>
      </c>
      <c r="AC179" s="51">
        <f t="shared" si="83"/>
        <v>0</v>
      </c>
      <c r="AD179" s="51">
        <f t="shared" si="84"/>
        <v>0</v>
      </c>
      <c r="AE179" s="51">
        <f t="shared" si="85"/>
        <v>0</v>
      </c>
      <c r="AF179" s="51">
        <f t="shared" si="86"/>
        <v>0</v>
      </c>
      <c r="AG179" s="51">
        <f t="shared" si="87"/>
        <v>0</v>
      </c>
      <c r="AH179" s="51">
        <f t="shared" si="88"/>
        <v>0</v>
      </c>
      <c r="AI179" s="35" t="s">
        <v>4</v>
      </c>
      <c r="AJ179" s="51">
        <f t="shared" si="89"/>
        <v>0</v>
      </c>
      <c r="AK179" s="51">
        <f t="shared" si="90"/>
        <v>0</v>
      </c>
      <c r="AL179" s="51">
        <f t="shared" si="91"/>
        <v>0</v>
      </c>
      <c r="AN179" s="51">
        <v>12</v>
      </c>
      <c r="AO179" s="51">
        <f t="shared" si="92"/>
        <v>0</v>
      </c>
      <c r="AP179" s="51">
        <f t="shared" si="93"/>
        <v>0</v>
      </c>
      <c r="AQ179" s="53" t="s">
        <v>149</v>
      </c>
      <c r="AV179" s="51">
        <f t="shared" si="94"/>
        <v>0</v>
      </c>
      <c r="AW179" s="51">
        <f t="shared" si="95"/>
        <v>0</v>
      </c>
      <c r="AX179" s="51">
        <f t="shared" si="96"/>
        <v>0</v>
      </c>
      <c r="AY179" s="53" t="s">
        <v>503</v>
      </c>
      <c r="AZ179" s="53" t="s">
        <v>504</v>
      </c>
      <c r="BA179" s="35" t="s">
        <v>117</v>
      </c>
      <c r="BC179" s="51">
        <f t="shared" si="97"/>
        <v>0</v>
      </c>
      <c r="BD179" s="51">
        <f t="shared" si="98"/>
        <v>0</v>
      </c>
      <c r="BE179" s="51">
        <v>0</v>
      </c>
      <c r="BF179" s="51">
        <f>179</f>
        <v>179</v>
      </c>
      <c r="BH179" s="51">
        <f t="shared" si="99"/>
        <v>0</v>
      </c>
      <c r="BI179" s="51">
        <f t="shared" si="100"/>
        <v>0</v>
      </c>
      <c r="BJ179" s="51">
        <f t="shared" si="101"/>
        <v>0</v>
      </c>
      <c r="BK179" s="53" t="s">
        <v>118</v>
      </c>
      <c r="BL179" s="51">
        <v>766</v>
      </c>
      <c r="BW179" s="51">
        <v>12</v>
      </c>
      <c r="BX179" s="3" t="s">
        <v>516</v>
      </c>
    </row>
    <row r="180" spans="1:76">
      <c r="A180" s="1" t="s">
        <v>233</v>
      </c>
      <c r="B180" s="2" t="s">
        <v>517</v>
      </c>
      <c r="C180" s="75" t="s">
        <v>518</v>
      </c>
      <c r="D180" s="70"/>
      <c r="E180" s="2" t="s">
        <v>114</v>
      </c>
      <c r="F180" s="51">
        <v>1</v>
      </c>
      <c r="G180" s="52">
        <v>0</v>
      </c>
      <c r="H180" s="51">
        <f t="shared" si="80"/>
        <v>0</v>
      </c>
      <c r="J180" s="41"/>
      <c r="Z180" s="51">
        <f t="shared" si="81"/>
        <v>0</v>
      </c>
      <c r="AB180" s="51">
        <f t="shared" si="82"/>
        <v>0</v>
      </c>
      <c r="AC180" s="51">
        <f t="shared" si="83"/>
        <v>0</v>
      </c>
      <c r="AD180" s="51">
        <f t="shared" si="84"/>
        <v>0</v>
      </c>
      <c r="AE180" s="51">
        <f t="shared" si="85"/>
        <v>0</v>
      </c>
      <c r="AF180" s="51">
        <f t="shared" si="86"/>
        <v>0</v>
      </c>
      <c r="AG180" s="51">
        <f t="shared" si="87"/>
        <v>0</v>
      </c>
      <c r="AH180" s="51">
        <f t="shared" si="88"/>
        <v>0</v>
      </c>
      <c r="AI180" s="35" t="s">
        <v>4</v>
      </c>
      <c r="AJ180" s="51">
        <f t="shared" si="89"/>
        <v>0</v>
      </c>
      <c r="AK180" s="51">
        <f t="shared" si="90"/>
        <v>0</v>
      </c>
      <c r="AL180" s="51">
        <f t="shared" si="91"/>
        <v>0</v>
      </c>
      <c r="AN180" s="51">
        <v>12</v>
      </c>
      <c r="AO180" s="51">
        <f t="shared" si="92"/>
        <v>0</v>
      </c>
      <c r="AP180" s="51">
        <f t="shared" si="93"/>
        <v>0</v>
      </c>
      <c r="AQ180" s="53" t="s">
        <v>149</v>
      </c>
      <c r="AV180" s="51">
        <f t="shared" si="94"/>
        <v>0</v>
      </c>
      <c r="AW180" s="51">
        <f t="shared" si="95"/>
        <v>0</v>
      </c>
      <c r="AX180" s="51">
        <f t="shared" si="96"/>
        <v>0</v>
      </c>
      <c r="AY180" s="53" t="s">
        <v>503</v>
      </c>
      <c r="AZ180" s="53" t="s">
        <v>504</v>
      </c>
      <c r="BA180" s="35" t="s">
        <v>117</v>
      </c>
      <c r="BC180" s="51">
        <f t="shared" si="97"/>
        <v>0</v>
      </c>
      <c r="BD180" s="51">
        <f t="shared" si="98"/>
        <v>0</v>
      </c>
      <c r="BE180" s="51">
        <v>0</v>
      </c>
      <c r="BF180" s="51">
        <f>180</f>
        <v>180</v>
      </c>
      <c r="BH180" s="51">
        <f t="shared" si="99"/>
        <v>0</v>
      </c>
      <c r="BI180" s="51">
        <f t="shared" si="100"/>
        <v>0</v>
      </c>
      <c r="BJ180" s="51">
        <f t="shared" si="101"/>
        <v>0</v>
      </c>
      <c r="BK180" s="53" t="s">
        <v>118</v>
      </c>
      <c r="BL180" s="51">
        <v>766</v>
      </c>
      <c r="BW180" s="51">
        <v>12</v>
      </c>
      <c r="BX180" s="3" t="s">
        <v>518</v>
      </c>
    </row>
    <row r="181" spans="1:76">
      <c r="A181" s="1" t="s">
        <v>258</v>
      </c>
      <c r="B181" s="2" t="s">
        <v>519</v>
      </c>
      <c r="C181" s="75" t="s">
        <v>520</v>
      </c>
      <c r="D181" s="70"/>
      <c r="E181" s="2" t="s">
        <v>114</v>
      </c>
      <c r="F181" s="51">
        <v>1</v>
      </c>
      <c r="G181" s="52">
        <v>0</v>
      </c>
      <c r="H181" s="51">
        <f t="shared" si="80"/>
        <v>0</v>
      </c>
      <c r="J181" s="41"/>
      <c r="Z181" s="51">
        <f t="shared" si="81"/>
        <v>0</v>
      </c>
      <c r="AB181" s="51">
        <f t="shared" si="82"/>
        <v>0</v>
      </c>
      <c r="AC181" s="51">
        <f t="shared" si="83"/>
        <v>0</v>
      </c>
      <c r="AD181" s="51">
        <f t="shared" si="84"/>
        <v>0</v>
      </c>
      <c r="AE181" s="51">
        <f t="shared" si="85"/>
        <v>0</v>
      </c>
      <c r="AF181" s="51">
        <f t="shared" si="86"/>
        <v>0</v>
      </c>
      <c r="AG181" s="51">
        <f t="shared" si="87"/>
        <v>0</v>
      </c>
      <c r="AH181" s="51">
        <f t="shared" si="88"/>
        <v>0</v>
      </c>
      <c r="AI181" s="35" t="s">
        <v>4</v>
      </c>
      <c r="AJ181" s="51">
        <f t="shared" si="89"/>
        <v>0</v>
      </c>
      <c r="AK181" s="51">
        <f t="shared" si="90"/>
        <v>0</v>
      </c>
      <c r="AL181" s="51">
        <f t="shared" si="91"/>
        <v>0</v>
      </c>
      <c r="AN181" s="51">
        <v>12</v>
      </c>
      <c r="AO181" s="51">
        <f t="shared" si="92"/>
        <v>0</v>
      </c>
      <c r="AP181" s="51">
        <f t="shared" si="93"/>
        <v>0</v>
      </c>
      <c r="AQ181" s="53" t="s">
        <v>149</v>
      </c>
      <c r="AV181" s="51">
        <f t="shared" si="94"/>
        <v>0</v>
      </c>
      <c r="AW181" s="51">
        <f t="shared" si="95"/>
        <v>0</v>
      </c>
      <c r="AX181" s="51">
        <f t="shared" si="96"/>
        <v>0</v>
      </c>
      <c r="AY181" s="53" t="s">
        <v>503</v>
      </c>
      <c r="AZ181" s="53" t="s">
        <v>504</v>
      </c>
      <c r="BA181" s="35" t="s">
        <v>117</v>
      </c>
      <c r="BC181" s="51">
        <f t="shared" si="97"/>
        <v>0</v>
      </c>
      <c r="BD181" s="51">
        <f t="shared" si="98"/>
        <v>0</v>
      </c>
      <c r="BE181" s="51">
        <v>0</v>
      </c>
      <c r="BF181" s="51">
        <f>181</f>
        <v>181</v>
      </c>
      <c r="BH181" s="51">
        <f t="shared" si="99"/>
        <v>0</v>
      </c>
      <c r="BI181" s="51">
        <f t="shared" si="100"/>
        <v>0</v>
      </c>
      <c r="BJ181" s="51">
        <f t="shared" si="101"/>
        <v>0</v>
      </c>
      <c r="BK181" s="53" t="s">
        <v>118</v>
      </c>
      <c r="BL181" s="51">
        <v>766</v>
      </c>
      <c r="BW181" s="51">
        <v>12</v>
      </c>
      <c r="BX181" s="3" t="s">
        <v>520</v>
      </c>
    </row>
    <row r="182" spans="1:76">
      <c r="A182" s="1" t="s">
        <v>521</v>
      </c>
      <c r="B182" s="2" t="s">
        <v>522</v>
      </c>
      <c r="C182" s="75" t="s">
        <v>523</v>
      </c>
      <c r="D182" s="70"/>
      <c r="E182" s="2" t="s">
        <v>524</v>
      </c>
      <c r="F182" s="51">
        <v>2</v>
      </c>
      <c r="G182" s="52">
        <v>0</v>
      </c>
      <c r="H182" s="51">
        <f t="shared" si="80"/>
        <v>0</v>
      </c>
      <c r="J182" s="41"/>
      <c r="Z182" s="51">
        <f t="shared" si="81"/>
        <v>0</v>
      </c>
      <c r="AB182" s="51">
        <f t="shared" si="82"/>
        <v>0</v>
      </c>
      <c r="AC182" s="51">
        <f t="shared" si="83"/>
        <v>0</v>
      </c>
      <c r="AD182" s="51">
        <f t="shared" si="84"/>
        <v>0</v>
      </c>
      <c r="AE182" s="51">
        <f t="shared" si="85"/>
        <v>0</v>
      </c>
      <c r="AF182" s="51">
        <f t="shared" si="86"/>
        <v>0</v>
      </c>
      <c r="AG182" s="51">
        <f t="shared" si="87"/>
        <v>0</v>
      </c>
      <c r="AH182" s="51">
        <f t="shared" si="88"/>
        <v>0</v>
      </c>
      <c r="AI182" s="35" t="s">
        <v>4</v>
      </c>
      <c r="AJ182" s="51">
        <f t="shared" si="89"/>
        <v>0</v>
      </c>
      <c r="AK182" s="51">
        <f t="shared" si="90"/>
        <v>0</v>
      </c>
      <c r="AL182" s="51">
        <f t="shared" si="91"/>
        <v>0</v>
      </c>
      <c r="AN182" s="51">
        <v>12</v>
      </c>
      <c r="AO182" s="51">
        <f t="shared" si="92"/>
        <v>0</v>
      </c>
      <c r="AP182" s="51">
        <f t="shared" si="93"/>
        <v>0</v>
      </c>
      <c r="AQ182" s="53" t="s">
        <v>149</v>
      </c>
      <c r="AV182" s="51">
        <f t="shared" si="94"/>
        <v>0</v>
      </c>
      <c r="AW182" s="51">
        <f t="shared" si="95"/>
        <v>0</v>
      </c>
      <c r="AX182" s="51">
        <f t="shared" si="96"/>
        <v>0</v>
      </c>
      <c r="AY182" s="53" t="s">
        <v>503</v>
      </c>
      <c r="AZ182" s="53" t="s">
        <v>504</v>
      </c>
      <c r="BA182" s="35" t="s">
        <v>117</v>
      </c>
      <c r="BC182" s="51">
        <f t="shared" si="97"/>
        <v>0</v>
      </c>
      <c r="BD182" s="51">
        <f t="shared" si="98"/>
        <v>0</v>
      </c>
      <c r="BE182" s="51">
        <v>0</v>
      </c>
      <c r="BF182" s="51">
        <f>182</f>
        <v>182</v>
      </c>
      <c r="BH182" s="51">
        <f t="shared" si="99"/>
        <v>0</v>
      </c>
      <c r="BI182" s="51">
        <f t="shared" si="100"/>
        <v>0</v>
      </c>
      <c r="BJ182" s="51">
        <f t="shared" si="101"/>
        <v>0</v>
      </c>
      <c r="BK182" s="53" t="s">
        <v>118</v>
      </c>
      <c r="BL182" s="51">
        <v>766</v>
      </c>
      <c r="BW182" s="51">
        <v>12</v>
      </c>
      <c r="BX182" s="3" t="s">
        <v>523</v>
      </c>
    </row>
    <row r="183" spans="1:76">
      <c r="A183" s="1" t="s">
        <v>525</v>
      </c>
      <c r="B183" s="2" t="s">
        <v>526</v>
      </c>
      <c r="C183" s="75" t="s">
        <v>527</v>
      </c>
      <c r="D183" s="70"/>
      <c r="E183" s="2" t="s">
        <v>416</v>
      </c>
      <c r="F183" s="51">
        <v>1</v>
      </c>
      <c r="G183" s="52">
        <v>0</v>
      </c>
      <c r="H183" s="51">
        <f t="shared" si="80"/>
        <v>0</v>
      </c>
      <c r="J183" s="41"/>
      <c r="Z183" s="51">
        <f t="shared" si="81"/>
        <v>0</v>
      </c>
      <c r="AB183" s="51">
        <f t="shared" si="82"/>
        <v>0</v>
      </c>
      <c r="AC183" s="51">
        <f t="shared" si="83"/>
        <v>0</v>
      </c>
      <c r="AD183" s="51">
        <f t="shared" si="84"/>
        <v>0</v>
      </c>
      <c r="AE183" s="51">
        <f t="shared" si="85"/>
        <v>0</v>
      </c>
      <c r="AF183" s="51">
        <f t="shared" si="86"/>
        <v>0</v>
      </c>
      <c r="AG183" s="51">
        <f t="shared" si="87"/>
        <v>0</v>
      </c>
      <c r="AH183" s="51">
        <f t="shared" si="88"/>
        <v>0</v>
      </c>
      <c r="AI183" s="35" t="s">
        <v>4</v>
      </c>
      <c r="AJ183" s="51">
        <f t="shared" si="89"/>
        <v>0</v>
      </c>
      <c r="AK183" s="51">
        <f t="shared" si="90"/>
        <v>0</v>
      </c>
      <c r="AL183" s="51">
        <f t="shared" si="91"/>
        <v>0</v>
      </c>
      <c r="AN183" s="51">
        <v>12</v>
      </c>
      <c r="AO183" s="51">
        <f t="shared" si="92"/>
        <v>0</v>
      </c>
      <c r="AP183" s="51">
        <f t="shared" si="93"/>
        <v>0</v>
      </c>
      <c r="AQ183" s="53" t="s">
        <v>149</v>
      </c>
      <c r="AV183" s="51">
        <f t="shared" si="94"/>
        <v>0</v>
      </c>
      <c r="AW183" s="51">
        <f t="shared" si="95"/>
        <v>0</v>
      </c>
      <c r="AX183" s="51">
        <f t="shared" si="96"/>
        <v>0</v>
      </c>
      <c r="AY183" s="53" t="s">
        <v>503</v>
      </c>
      <c r="AZ183" s="53" t="s">
        <v>504</v>
      </c>
      <c r="BA183" s="35" t="s">
        <v>117</v>
      </c>
      <c r="BC183" s="51">
        <f t="shared" si="97"/>
        <v>0</v>
      </c>
      <c r="BD183" s="51">
        <f t="shared" si="98"/>
        <v>0</v>
      </c>
      <c r="BE183" s="51">
        <v>0</v>
      </c>
      <c r="BF183" s="51">
        <f>183</f>
        <v>183</v>
      </c>
      <c r="BH183" s="51">
        <f t="shared" si="99"/>
        <v>0</v>
      </c>
      <c r="BI183" s="51">
        <f t="shared" si="100"/>
        <v>0</v>
      </c>
      <c r="BJ183" s="51">
        <f t="shared" si="101"/>
        <v>0</v>
      </c>
      <c r="BK183" s="53" t="s">
        <v>118</v>
      </c>
      <c r="BL183" s="51">
        <v>766</v>
      </c>
      <c r="BW183" s="51">
        <v>12</v>
      </c>
      <c r="BX183" s="3" t="s">
        <v>527</v>
      </c>
    </row>
    <row r="184" spans="1:76">
      <c r="A184" s="1" t="s">
        <v>310</v>
      </c>
      <c r="B184" s="2" t="s">
        <v>528</v>
      </c>
      <c r="C184" s="75" t="s">
        <v>529</v>
      </c>
      <c r="D184" s="70"/>
      <c r="E184" s="2" t="s">
        <v>114</v>
      </c>
      <c r="F184" s="51">
        <v>1</v>
      </c>
      <c r="G184" s="52">
        <v>0</v>
      </c>
      <c r="H184" s="51">
        <f t="shared" si="80"/>
        <v>0</v>
      </c>
      <c r="J184" s="41"/>
      <c r="Z184" s="51">
        <f t="shared" si="81"/>
        <v>0</v>
      </c>
      <c r="AB184" s="51">
        <f t="shared" si="82"/>
        <v>0</v>
      </c>
      <c r="AC184" s="51">
        <f t="shared" si="83"/>
        <v>0</v>
      </c>
      <c r="AD184" s="51">
        <f t="shared" si="84"/>
        <v>0</v>
      </c>
      <c r="AE184" s="51">
        <f t="shared" si="85"/>
        <v>0</v>
      </c>
      <c r="AF184" s="51">
        <f t="shared" si="86"/>
        <v>0</v>
      </c>
      <c r="AG184" s="51">
        <f t="shared" si="87"/>
        <v>0</v>
      </c>
      <c r="AH184" s="51">
        <f t="shared" si="88"/>
        <v>0</v>
      </c>
      <c r="AI184" s="35" t="s">
        <v>4</v>
      </c>
      <c r="AJ184" s="51">
        <f t="shared" si="89"/>
        <v>0</v>
      </c>
      <c r="AK184" s="51">
        <f t="shared" si="90"/>
        <v>0</v>
      </c>
      <c r="AL184" s="51">
        <f t="shared" si="91"/>
        <v>0</v>
      </c>
      <c r="AN184" s="51">
        <v>12</v>
      </c>
      <c r="AO184" s="51">
        <f>G184*0.029623188</f>
        <v>0</v>
      </c>
      <c r="AP184" s="51">
        <f>G184*(1-0.029623188)</f>
        <v>0</v>
      </c>
      <c r="AQ184" s="53" t="s">
        <v>149</v>
      </c>
      <c r="AV184" s="51">
        <f t="shared" si="94"/>
        <v>0</v>
      </c>
      <c r="AW184" s="51">
        <f t="shared" si="95"/>
        <v>0</v>
      </c>
      <c r="AX184" s="51">
        <f t="shared" si="96"/>
        <v>0</v>
      </c>
      <c r="AY184" s="53" t="s">
        <v>503</v>
      </c>
      <c r="AZ184" s="53" t="s">
        <v>504</v>
      </c>
      <c r="BA184" s="35" t="s">
        <v>117</v>
      </c>
      <c r="BC184" s="51">
        <f t="shared" si="97"/>
        <v>0</v>
      </c>
      <c r="BD184" s="51">
        <f t="shared" si="98"/>
        <v>0</v>
      </c>
      <c r="BE184" s="51">
        <v>0</v>
      </c>
      <c r="BF184" s="51">
        <f>184</f>
        <v>184</v>
      </c>
      <c r="BH184" s="51">
        <f t="shared" si="99"/>
        <v>0</v>
      </c>
      <c r="BI184" s="51">
        <f t="shared" si="100"/>
        <v>0</v>
      </c>
      <c r="BJ184" s="51">
        <f t="shared" si="101"/>
        <v>0</v>
      </c>
      <c r="BK184" s="53" t="s">
        <v>118</v>
      </c>
      <c r="BL184" s="51">
        <v>766</v>
      </c>
      <c r="BW184" s="51">
        <v>12</v>
      </c>
      <c r="BX184" s="3" t="s">
        <v>529</v>
      </c>
    </row>
    <row r="185" spans="1:76">
      <c r="A185" s="54"/>
      <c r="C185" s="56" t="s">
        <v>111</v>
      </c>
      <c r="D185" s="57" t="s">
        <v>530</v>
      </c>
      <c r="F185" s="58">
        <v>1</v>
      </c>
      <c r="J185" s="41"/>
    </row>
    <row r="186" spans="1:76" ht="25.5">
      <c r="A186" s="1" t="s">
        <v>531</v>
      </c>
      <c r="B186" s="2" t="s">
        <v>532</v>
      </c>
      <c r="C186" s="75" t="s">
        <v>533</v>
      </c>
      <c r="D186" s="70"/>
      <c r="E186" s="2" t="s">
        <v>114</v>
      </c>
      <c r="F186" s="51">
        <v>2</v>
      </c>
      <c r="G186" s="52">
        <v>0</v>
      </c>
      <c r="H186" s="51">
        <f>ROUND(F186*G186,2)</f>
        <v>0</v>
      </c>
      <c r="J186" s="41"/>
      <c r="Z186" s="51">
        <f>ROUND(IF(AQ186="5",BJ186,0),2)</f>
        <v>0</v>
      </c>
      <c r="AB186" s="51">
        <f>ROUND(IF(AQ186="1",BH186,0),2)</f>
        <v>0</v>
      </c>
      <c r="AC186" s="51">
        <f>ROUND(IF(AQ186="1",BI186,0),2)</f>
        <v>0</v>
      </c>
      <c r="AD186" s="51">
        <f>ROUND(IF(AQ186="7",BH186,0),2)</f>
        <v>0</v>
      </c>
      <c r="AE186" s="51">
        <f>ROUND(IF(AQ186="7",BI186,0),2)</f>
        <v>0</v>
      </c>
      <c r="AF186" s="51">
        <f>ROUND(IF(AQ186="2",BH186,0),2)</f>
        <v>0</v>
      </c>
      <c r="AG186" s="51">
        <f>ROUND(IF(AQ186="2",BI186,0),2)</f>
        <v>0</v>
      </c>
      <c r="AH186" s="51">
        <f>ROUND(IF(AQ186="0",BJ186,0),2)</f>
        <v>0</v>
      </c>
      <c r="AI186" s="35" t="s">
        <v>4</v>
      </c>
      <c r="AJ186" s="51">
        <f>IF(AN186=0,H186,0)</f>
        <v>0</v>
      </c>
      <c r="AK186" s="51">
        <f>IF(AN186=12,H186,0)</f>
        <v>0</v>
      </c>
      <c r="AL186" s="51">
        <f>IF(AN186=21,H186,0)</f>
        <v>0</v>
      </c>
      <c r="AN186" s="51">
        <v>12</v>
      </c>
      <c r="AO186" s="51">
        <f>G186*1</f>
        <v>0</v>
      </c>
      <c r="AP186" s="51">
        <f>G186*(1-1)</f>
        <v>0</v>
      </c>
      <c r="AQ186" s="53" t="s">
        <v>149</v>
      </c>
      <c r="AV186" s="51">
        <f>ROUND(AW186+AX186,2)</f>
        <v>0</v>
      </c>
      <c r="AW186" s="51">
        <f>ROUND(F186*AO186,2)</f>
        <v>0</v>
      </c>
      <c r="AX186" s="51">
        <f>ROUND(F186*AP186,2)</f>
        <v>0</v>
      </c>
      <c r="AY186" s="53" t="s">
        <v>503</v>
      </c>
      <c r="AZ186" s="53" t="s">
        <v>504</v>
      </c>
      <c r="BA186" s="35" t="s">
        <v>117</v>
      </c>
      <c r="BC186" s="51">
        <f>AW186+AX186</f>
        <v>0</v>
      </c>
      <c r="BD186" s="51">
        <f>G186/(100-BE186)*100</f>
        <v>0</v>
      </c>
      <c r="BE186" s="51">
        <v>0</v>
      </c>
      <c r="BF186" s="51">
        <f>186</f>
        <v>186</v>
      </c>
      <c r="BH186" s="51">
        <f>F186*AO186</f>
        <v>0</v>
      </c>
      <c r="BI186" s="51">
        <f>F186*AP186</f>
        <v>0</v>
      </c>
      <c r="BJ186" s="51">
        <f>F186*G186</f>
        <v>0</v>
      </c>
      <c r="BK186" s="53" t="s">
        <v>257</v>
      </c>
      <c r="BL186" s="51">
        <v>766</v>
      </c>
      <c r="BW186" s="51">
        <v>12</v>
      </c>
      <c r="BX186" s="3" t="s">
        <v>533</v>
      </c>
    </row>
    <row r="187" spans="1:76" ht="25.5">
      <c r="A187" s="1" t="s">
        <v>534</v>
      </c>
      <c r="B187" s="2" t="s">
        <v>535</v>
      </c>
      <c r="C187" s="75" t="s">
        <v>536</v>
      </c>
      <c r="D187" s="70"/>
      <c r="E187" s="2" t="s">
        <v>114</v>
      </c>
      <c r="F187" s="51">
        <v>1</v>
      </c>
      <c r="G187" s="52">
        <v>0</v>
      </c>
      <c r="H187" s="51">
        <f>ROUND(F187*G187,2)</f>
        <v>0</v>
      </c>
      <c r="J187" s="41"/>
      <c r="Z187" s="51">
        <f>ROUND(IF(AQ187="5",BJ187,0),2)</f>
        <v>0</v>
      </c>
      <c r="AB187" s="51">
        <f>ROUND(IF(AQ187="1",BH187,0),2)</f>
        <v>0</v>
      </c>
      <c r="AC187" s="51">
        <f>ROUND(IF(AQ187="1",BI187,0),2)</f>
        <v>0</v>
      </c>
      <c r="AD187" s="51">
        <f>ROUND(IF(AQ187="7",BH187,0),2)</f>
        <v>0</v>
      </c>
      <c r="AE187" s="51">
        <f>ROUND(IF(AQ187="7",BI187,0),2)</f>
        <v>0</v>
      </c>
      <c r="AF187" s="51">
        <f>ROUND(IF(AQ187="2",BH187,0),2)</f>
        <v>0</v>
      </c>
      <c r="AG187" s="51">
        <f>ROUND(IF(AQ187="2",BI187,0),2)</f>
        <v>0</v>
      </c>
      <c r="AH187" s="51">
        <f>ROUND(IF(AQ187="0",BJ187,0),2)</f>
        <v>0</v>
      </c>
      <c r="AI187" s="35" t="s">
        <v>4</v>
      </c>
      <c r="AJ187" s="51">
        <f>IF(AN187=0,H187,0)</f>
        <v>0</v>
      </c>
      <c r="AK187" s="51">
        <f>IF(AN187=12,H187,0)</f>
        <v>0</v>
      </c>
      <c r="AL187" s="51">
        <f>IF(AN187=21,H187,0)</f>
        <v>0</v>
      </c>
      <c r="AN187" s="51">
        <v>12</v>
      </c>
      <c r="AO187" s="51">
        <f>G187*1</f>
        <v>0</v>
      </c>
      <c r="AP187" s="51">
        <f>G187*(1-1)</f>
        <v>0</v>
      </c>
      <c r="AQ187" s="53" t="s">
        <v>149</v>
      </c>
      <c r="AV187" s="51">
        <f>ROUND(AW187+AX187,2)</f>
        <v>0</v>
      </c>
      <c r="AW187" s="51">
        <f>ROUND(F187*AO187,2)</f>
        <v>0</v>
      </c>
      <c r="AX187" s="51">
        <f>ROUND(F187*AP187,2)</f>
        <v>0</v>
      </c>
      <c r="AY187" s="53" t="s">
        <v>503</v>
      </c>
      <c r="AZ187" s="53" t="s">
        <v>504</v>
      </c>
      <c r="BA187" s="35" t="s">
        <v>117</v>
      </c>
      <c r="BC187" s="51">
        <f>AW187+AX187</f>
        <v>0</v>
      </c>
      <c r="BD187" s="51">
        <f>G187/(100-BE187)*100</f>
        <v>0</v>
      </c>
      <c r="BE187" s="51">
        <v>0</v>
      </c>
      <c r="BF187" s="51">
        <f>187</f>
        <v>187</v>
      </c>
      <c r="BH187" s="51">
        <f>F187*AO187</f>
        <v>0</v>
      </c>
      <c r="BI187" s="51">
        <f>F187*AP187</f>
        <v>0</v>
      </c>
      <c r="BJ187" s="51">
        <f>F187*G187</f>
        <v>0</v>
      </c>
      <c r="BK187" s="53" t="s">
        <v>257</v>
      </c>
      <c r="BL187" s="51">
        <v>766</v>
      </c>
      <c r="BW187" s="51">
        <v>12</v>
      </c>
      <c r="BX187" s="3" t="s">
        <v>536</v>
      </c>
    </row>
    <row r="188" spans="1:76">
      <c r="A188" s="1" t="s">
        <v>537</v>
      </c>
      <c r="B188" s="2" t="s">
        <v>538</v>
      </c>
      <c r="C188" s="75" t="s">
        <v>539</v>
      </c>
      <c r="D188" s="70"/>
      <c r="E188" s="2" t="s">
        <v>114</v>
      </c>
      <c r="F188" s="51">
        <v>1</v>
      </c>
      <c r="G188" s="52">
        <v>0</v>
      </c>
      <c r="H188" s="51">
        <f>ROUND(F188*G188,2)</f>
        <v>0</v>
      </c>
      <c r="J188" s="41"/>
      <c r="Z188" s="51">
        <f>ROUND(IF(AQ188="5",BJ188,0),2)</f>
        <v>0</v>
      </c>
      <c r="AB188" s="51">
        <f>ROUND(IF(AQ188="1",BH188,0),2)</f>
        <v>0</v>
      </c>
      <c r="AC188" s="51">
        <f>ROUND(IF(AQ188="1",BI188,0),2)</f>
        <v>0</v>
      </c>
      <c r="AD188" s="51">
        <f>ROUND(IF(AQ188="7",BH188,0),2)</f>
        <v>0</v>
      </c>
      <c r="AE188" s="51">
        <f>ROUND(IF(AQ188="7",BI188,0),2)</f>
        <v>0</v>
      </c>
      <c r="AF188" s="51">
        <f>ROUND(IF(AQ188="2",BH188,0),2)</f>
        <v>0</v>
      </c>
      <c r="AG188" s="51">
        <f>ROUND(IF(AQ188="2",BI188,0),2)</f>
        <v>0</v>
      </c>
      <c r="AH188" s="51">
        <f>ROUND(IF(AQ188="0",BJ188,0),2)</f>
        <v>0</v>
      </c>
      <c r="AI188" s="35" t="s">
        <v>4</v>
      </c>
      <c r="AJ188" s="51">
        <f>IF(AN188=0,H188,0)</f>
        <v>0</v>
      </c>
      <c r="AK188" s="51">
        <f>IF(AN188=12,H188,0)</f>
        <v>0</v>
      </c>
      <c r="AL188" s="51">
        <f>IF(AN188=21,H188,0)</f>
        <v>0</v>
      </c>
      <c r="AN188" s="51">
        <v>12</v>
      </c>
      <c r="AO188" s="51">
        <f>G188*1</f>
        <v>0</v>
      </c>
      <c r="AP188" s="51">
        <f>G188*(1-1)</f>
        <v>0</v>
      </c>
      <c r="AQ188" s="53" t="s">
        <v>149</v>
      </c>
      <c r="AV188" s="51">
        <f>ROUND(AW188+AX188,2)</f>
        <v>0</v>
      </c>
      <c r="AW188" s="51">
        <f>ROUND(F188*AO188,2)</f>
        <v>0</v>
      </c>
      <c r="AX188" s="51">
        <f>ROUND(F188*AP188,2)</f>
        <v>0</v>
      </c>
      <c r="AY188" s="53" t="s">
        <v>503</v>
      </c>
      <c r="AZ188" s="53" t="s">
        <v>504</v>
      </c>
      <c r="BA188" s="35" t="s">
        <v>117</v>
      </c>
      <c r="BC188" s="51">
        <f>AW188+AX188</f>
        <v>0</v>
      </c>
      <c r="BD188" s="51">
        <f>G188/(100-BE188)*100</f>
        <v>0</v>
      </c>
      <c r="BE188" s="51">
        <v>0</v>
      </c>
      <c r="BF188" s="51">
        <f>188</f>
        <v>188</v>
      </c>
      <c r="BH188" s="51">
        <f>F188*AO188</f>
        <v>0</v>
      </c>
      <c r="BI188" s="51">
        <f>F188*AP188</f>
        <v>0</v>
      </c>
      <c r="BJ188" s="51">
        <f>F188*G188</f>
        <v>0</v>
      </c>
      <c r="BK188" s="53" t="s">
        <v>257</v>
      </c>
      <c r="BL188" s="51">
        <v>766</v>
      </c>
      <c r="BW188" s="51">
        <v>12</v>
      </c>
      <c r="BX188" s="3" t="s">
        <v>539</v>
      </c>
    </row>
    <row r="189" spans="1:76">
      <c r="A189" s="1" t="s">
        <v>540</v>
      </c>
      <c r="B189" s="2" t="s">
        <v>541</v>
      </c>
      <c r="C189" s="75" t="s">
        <v>542</v>
      </c>
      <c r="D189" s="70"/>
      <c r="E189" s="2" t="s">
        <v>285</v>
      </c>
      <c r="F189" s="51">
        <v>0.629</v>
      </c>
      <c r="G189" s="52">
        <v>0</v>
      </c>
      <c r="H189" s="51">
        <f>ROUND(F189*G189,2)</f>
        <v>0</v>
      </c>
      <c r="J189" s="41"/>
      <c r="Z189" s="51">
        <f>ROUND(IF(AQ189="5",BJ189,0),2)</f>
        <v>0</v>
      </c>
      <c r="AB189" s="51">
        <f>ROUND(IF(AQ189="1",BH189,0),2)</f>
        <v>0</v>
      </c>
      <c r="AC189" s="51">
        <f>ROUND(IF(AQ189="1",BI189,0),2)</f>
        <v>0</v>
      </c>
      <c r="AD189" s="51">
        <f>ROUND(IF(AQ189="7",BH189,0),2)</f>
        <v>0</v>
      </c>
      <c r="AE189" s="51">
        <f>ROUND(IF(AQ189="7",BI189,0),2)</f>
        <v>0</v>
      </c>
      <c r="AF189" s="51">
        <f>ROUND(IF(AQ189="2",BH189,0),2)</f>
        <v>0</v>
      </c>
      <c r="AG189" s="51">
        <f>ROUND(IF(AQ189="2",BI189,0),2)</f>
        <v>0</v>
      </c>
      <c r="AH189" s="51">
        <f>ROUND(IF(AQ189="0",BJ189,0),2)</f>
        <v>0</v>
      </c>
      <c r="AI189" s="35" t="s">
        <v>4</v>
      </c>
      <c r="AJ189" s="51">
        <f>IF(AN189=0,H189,0)</f>
        <v>0</v>
      </c>
      <c r="AK189" s="51">
        <f>IF(AN189=12,H189,0)</f>
        <v>0</v>
      </c>
      <c r="AL189" s="51">
        <f>IF(AN189=21,H189,0)</f>
        <v>0</v>
      </c>
      <c r="AN189" s="51">
        <v>12</v>
      </c>
      <c r="AO189" s="51">
        <f>G189*0</f>
        <v>0</v>
      </c>
      <c r="AP189" s="51">
        <f>G189*(1-0)</f>
        <v>0</v>
      </c>
      <c r="AQ189" s="53" t="s">
        <v>139</v>
      </c>
      <c r="AV189" s="51">
        <f>ROUND(AW189+AX189,2)</f>
        <v>0</v>
      </c>
      <c r="AW189" s="51">
        <f>ROUND(F189*AO189,2)</f>
        <v>0</v>
      </c>
      <c r="AX189" s="51">
        <f>ROUND(F189*AP189,2)</f>
        <v>0</v>
      </c>
      <c r="AY189" s="53" t="s">
        <v>503</v>
      </c>
      <c r="AZ189" s="53" t="s">
        <v>504</v>
      </c>
      <c r="BA189" s="35" t="s">
        <v>117</v>
      </c>
      <c r="BC189" s="51">
        <f>AW189+AX189</f>
        <v>0</v>
      </c>
      <c r="BD189" s="51">
        <f>G189/(100-BE189)*100</f>
        <v>0</v>
      </c>
      <c r="BE189" s="51">
        <v>0</v>
      </c>
      <c r="BF189" s="51">
        <f>189</f>
        <v>189</v>
      </c>
      <c r="BH189" s="51">
        <f>F189*AO189</f>
        <v>0</v>
      </c>
      <c r="BI189" s="51">
        <f>F189*AP189</f>
        <v>0</v>
      </c>
      <c r="BJ189" s="51">
        <f>F189*G189</f>
        <v>0</v>
      </c>
      <c r="BK189" s="53" t="s">
        <v>118</v>
      </c>
      <c r="BL189" s="51">
        <v>766</v>
      </c>
      <c r="BW189" s="51">
        <v>12</v>
      </c>
      <c r="BX189" s="3" t="s">
        <v>542</v>
      </c>
    </row>
    <row r="190" spans="1:76">
      <c r="A190" s="47" t="s">
        <v>4</v>
      </c>
      <c r="B190" s="48" t="s">
        <v>543</v>
      </c>
      <c r="C190" s="150" t="s">
        <v>544</v>
      </c>
      <c r="D190" s="151"/>
      <c r="E190" s="49" t="s">
        <v>79</v>
      </c>
      <c r="F190" s="49" t="s">
        <v>79</v>
      </c>
      <c r="G190" s="50" t="s">
        <v>79</v>
      </c>
      <c r="H190" s="28">
        <f>SUM(H191:H205)</f>
        <v>0</v>
      </c>
      <c r="J190" s="41"/>
      <c r="AI190" s="35" t="s">
        <v>4</v>
      </c>
      <c r="AS190" s="28">
        <f>SUM(AJ191:AJ205)</f>
        <v>0</v>
      </c>
      <c r="AT190" s="28">
        <f>SUM(AK191:AK205)</f>
        <v>0</v>
      </c>
      <c r="AU190" s="28">
        <f>SUM(AL191:AL205)</f>
        <v>0</v>
      </c>
    </row>
    <row r="191" spans="1:76">
      <c r="A191" s="1" t="s">
        <v>545</v>
      </c>
      <c r="B191" s="2" t="s">
        <v>546</v>
      </c>
      <c r="C191" s="75" t="s">
        <v>547</v>
      </c>
      <c r="D191" s="70"/>
      <c r="E191" s="2" t="s">
        <v>124</v>
      </c>
      <c r="F191" s="51">
        <v>5.3719999999999999</v>
      </c>
      <c r="G191" s="52">
        <v>0</v>
      </c>
      <c r="H191" s="51">
        <f>ROUND(F191*G191,2)</f>
        <v>0</v>
      </c>
      <c r="J191" s="41"/>
      <c r="Z191" s="51">
        <f>ROUND(IF(AQ191="5",BJ191,0),2)</f>
        <v>0</v>
      </c>
      <c r="AB191" s="51">
        <f>ROUND(IF(AQ191="1",BH191,0),2)</f>
        <v>0</v>
      </c>
      <c r="AC191" s="51">
        <f>ROUND(IF(AQ191="1",BI191,0),2)</f>
        <v>0</v>
      </c>
      <c r="AD191" s="51">
        <f>ROUND(IF(AQ191="7",BH191,0),2)</f>
        <v>0</v>
      </c>
      <c r="AE191" s="51">
        <f>ROUND(IF(AQ191="7",BI191,0),2)</f>
        <v>0</v>
      </c>
      <c r="AF191" s="51">
        <f>ROUND(IF(AQ191="2",BH191,0),2)</f>
        <v>0</v>
      </c>
      <c r="AG191" s="51">
        <f>ROUND(IF(AQ191="2",BI191,0),2)</f>
        <v>0</v>
      </c>
      <c r="AH191" s="51">
        <f>ROUND(IF(AQ191="0",BJ191,0),2)</f>
        <v>0</v>
      </c>
      <c r="AI191" s="35" t="s">
        <v>4</v>
      </c>
      <c r="AJ191" s="51">
        <f>IF(AN191=0,H191,0)</f>
        <v>0</v>
      </c>
      <c r="AK191" s="51">
        <f>IF(AN191=12,H191,0)</f>
        <v>0</v>
      </c>
      <c r="AL191" s="51">
        <f>IF(AN191=21,H191,0)</f>
        <v>0</v>
      </c>
      <c r="AN191" s="51">
        <v>12</v>
      </c>
      <c r="AO191" s="51">
        <f>G191*0.422539955</f>
        <v>0</v>
      </c>
      <c r="AP191" s="51">
        <f>G191*(1-0.422539955)</f>
        <v>0</v>
      </c>
      <c r="AQ191" s="53" t="s">
        <v>149</v>
      </c>
      <c r="AV191" s="51">
        <f>ROUND(AW191+AX191,2)</f>
        <v>0</v>
      </c>
      <c r="AW191" s="51">
        <f>ROUND(F191*AO191,2)</f>
        <v>0</v>
      </c>
      <c r="AX191" s="51">
        <f>ROUND(F191*AP191,2)</f>
        <v>0</v>
      </c>
      <c r="AY191" s="53" t="s">
        <v>548</v>
      </c>
      <c r="AZ191" s="53" t="s">
        <v>549</v>
      </c>
      <c r="BA191" s="35" t="s">
        <v>117</v>
      </c>
      <c r="BC191" s="51">
        <f>AW191+AX191</f>
        <v>0</v>
      </c>
      <c r="BD191" s="51">
        <f>G191/(100-BE191)*100</f>
        <v>0</v>
      </c>
      <c r="BE191" s="51">
        <v>0</v>
      </c>
      <c r="BF191" s="51">
        <f>191</f>
        <v>191</v>
      </c>
      <c r="BH191" s="51">
        <f>F191*AO191</f>
        <v>0</v>
      </c>
      <c r="BI191" s="51">
        <f>F191*AP191</f>
        <v>0</v>
      </c>
      <c r="BJ191" s="51">
        <f>F191*G191</f>
        <v>0</v>
      </c>
      <c r="BK191" s="53" t="s">
        <v>118</v>
      </c>
      <c r="BL191" s="51">
        <v>771</v>
      </c>
      <c r="BW191" s="51">
        <v>12</v>
      </c>
      <c r="BX191" s="3" t="s">
        <v>547</v>
      </c>
    </row>
    <row r="192" spans="1:76">
      <c r="A192" s="1" t="s">
        <v>550</v>
      </c>
      <c r="B192" s="2" t="s">
        <v>551</v>
      </c>
      <c r="C192" s="75" t="s">
        <v>552</v>
      </c>
      <c r="D192" s="70"/>
      <c r="E192" s="2" t="s">
        <v>124</v>
      </c>
      <c r="F192" s="51">
        <v>5.3719999999999999</v>
      </c>
      <c r="G192" s="52">
        <v>0</v>
      </c>
      <c r="H192" s="51">
        <f>ROUND(F192*G192,2)</f>
        <v>0</v>
      </c>
      <c r="J192" s="41"/>
      <c r="Z192" s="51">
        <f>ROUND(IF(AQ192="5",BJ192,0),2)</f>
        <v>0</v>
      </c>
      <c r="AB192" s="51">
        <f>ROUND(IF(AQ192="1",BH192,0),2)</f>
        <v>0</v>
      </c>
      <c r="AC192" s="51">
        <f>ROUND(IF(AQ192="1",BI192,0),2)</f>
        <v>0</v>
      </c>
      <c r="AD192" s="51">
        <f>ROUND(IF(AQ192="7",BH192,0),2)</f>
        <v>0</v>
      </c>
      <c r="AE192" s="51">
        <f>ROUND(IF(AQ192="7",BI192,0),2)</f>
        <v>0</v>
      </c>
      <c r="AF192" s="51">
        <f>ROUND(IF(AQ192="2",BH192,0),2)</f>
        <v>0</v>
      </c>
      <c r="AG192" s="51">
        <f>ROUND(IF(AQ192="2",BI192,0),2)</f>
        <v>0</v>
      </c>
      <c r="AH192" s="51">
        <f>ROUND(IF(AQ192="0",BJ192,0),2)</f>
        <v>0</v>
      </c>
      <c r="AI192" s="35" t="s">
        <v>4</v>
      </c>
      <c r="AJ192" s="51">
        <f>IF(AN192=0,H192,0)</f>
        <v>0</v>
      </c>
      <c r="AK192" s="51">
        <f>IF(AN192=12,H192,0)</f>
        <v>0</v>
      </c>
      <c r="AL192" s="51">
        <f>IF(AN192=21,H192,0)</f>
        <v>0</v>
      </c>
      <c r="AN192" s="51">
        <v>12</v>
      </c>
      <c r="AO192" s="51">
        <f>G192*0</f>
        <v>0</v>
      </c>
      <c r="AP192" s="51">
        <f>G192*(1-0)</f>
        <v>0</v>
      </c>
      <c r="AQ192" s="53" t="s">
        <v>149</v>
      </c>
      <c r="AV192" s="51">
        <f>ROUND(AW192+AX192,2)</f>
        <v>0</v>
      </c>
      <c r="AW192" s="51">
        <f>ROUND(F192*AO192,2)</f>
        <v>0</v>
      </c>
      <c r="AX192" s="51">
        <f>ROUND(F192*AP192,2)</f>
        <v>0</v>
      </c>
      <c r="AY192" s="53" t="s">
        <v>548</v>
      </c>
      <c r="AZ192" s="53" t="s">
        <v>549</v>
      </c>
      <c r="BA192" s="35" t="s">
        <v>117</v>
      </c>
      <c r="BC192" s="51">
        <f>AW192+AX192</f>
        <v>0</v>
      </c>
      <c r="BD192" s="51">
        <f>G192/(100-BE192)*100</f>
        <v>0</v>
      </c>
      <c r="BE192" s="51">
        <v>0</v>
      </c>
      <c r="BF192" s="51">
        <f>192</f>
        <v>192</v>
      </c>
      <c r="BH192" s="51">
        <f>F192*AO192</f>
        <v>0</v>
      </c>
      <c r="BI192" s="51">
        <f>F192*AP192</f>
        <v>0</v>
      </c>
      <c r="BJ192" s="51">
        <f>F192*G192</f>
        <v>0</v>
      </c>
      <c r="BK192" s="53" t="s">
        <v>118</v>
      </c>
      <c r="BL192" s="51">
        <v>771</v>
      </c>
      <c r="BW192" s="51">
        <v>12</v>
      </c>
      <c r="BX192" s="3" t="s">
        <v>552</v>
      </c>
    </row>
    <row r="193" spans="1:76">
      <c r="A193" s="54"/>
      <c r="C193" s="56" t="s">
        <v>327</v>
      </c>
      <c r="D193" s="57" t="s">
        <v>328</v>
      </c>
      <c r="F193" s="58">
        <v>5.3719999999999999</v>
      </c>
      <c r="J193" s="41"/>
    </row>
    <row r="194" spans="1:76">
      <c r="A194" s="1" t="s">
        <v>553</v>
      </c>
      <c r="B194" s="2" t="s">
        <v>554</v>
      </c>
      <c r="C194" s="75" t="s">
        <v>555</v>
      </c>
      <c r="D194" s="70"/>
      <c r="E194" s="2" t="s">
        <v>124</v>
      </c>
      <c r="F194" s="51">
        <v>5.3719999999999999</v>
      </c>
      <c r="G194" s="52">
        <v>0</v>
      </c>
      <c r="H194" s="51">
        <f>ROUND(F194*G194,2)</f>
        <v>0</v>
      </c>
      <c r="J194" s="41"/>
      <c r="Z194" s="51">
        <f>ROUND(IF(AQ194="5",BJ194,0),2)</f>
        <v>0</v>
      </c>
      <c r="AB194" s="51">
        <f>ROUND(IF(AQ194="1",BH194,0),2)</f>
        <v>0</v>
      </c>
      <c r="AC194" s="51">
        <f>ROUND(IF(AQ194="1",BI194,0),2)</f>
        <v>0</v>
      </c>
      <c r="AD194" s="51">
        <f>ROUND(IF(AQ194="7",BH194,0),2)</f>
        <v>0</v>
      </c>
      <c r="AE194" s="51">
        <f>ROUND(IF(AQ194="7",BI194,0),2)</f>
        <v>0</v>
      </c>
      <c r="AF194" s="51">
        <f>ROUND(IF(AQ194="2",BH194,0),2)</f>
        <v>0</v>
      </c>
      <c r="AG194" s="51">
        <f>ROUND(IF(AQ194="2",BI194,0),2)</f>
        <v>0</v>
      </c>
      <c r="AH194" s="51">
        <f>ROUND(IF(AQ194="0",BJ194,0),2)</f>
        <v>0</v>
      </c>
      <c r="AI194" s="35" t="s">
        <v>4</v>
      </c>
      <c r="AJ194" s="51">
        <f>IF(AN194=0,H194,0)</f>
        <v>0</v>
      </c>
      <c r="AK194" s="51">
        <f>IF(AN194=12,H194,0)</f>
        <v>0</v>
      </c>
      <c r="AL194" s="51">
        <f>IF(AN194=21,H194,0)</f>
        <v>0</v>
      </c>
      <c r="AN194" s="51">
        <v>12</v>
      </c>
      <c r="AO194" s="51">
        <f>G194*0.20543479</f>
        <v>0</v>
      </c>
      <c r="AP194" s="51">
        <f>G194*(1-0.20543479)</f>
        <v>0</v>
      </c>
      <c r="AQ194" s="53" t="s">
        <v>149</v>
      </c>
      <c r="AV194" s="51">
        <f>ROUND(AW194+AX194,2)</f>
        <v>0</v>
      </c>
      <c r="AW194" s="51">
        <f>ROUND(F194*AO194,2)</f>
        <v>0</v>
      </c>
      <c r="AX194" s="51">
        <f>ROUND(F194*AP194,2)</f>
        <v>0</v>
      </c>
      <c r="AY194" s="53" t="s">
        <v>548</v>
      </c>
      <c r="AZ194" s="53" t="s">
        <v>549</v>
      </c>
      <c r="BA194" s="35" t="s">
        <v>117</v>
      </c>
      <c r="BC194" s="51">
        <f>AW194+AX194</f>
        <v>0</v>
      </c>
      <c r="BD194" s="51">
        <f>G194/(100-BE194)*100</f>
        <v>0</v>
      </c>
      <c r="BE194" s="51">
        <v>0</v>
      </c>
      <c r="BF194" s="51">
        <f>194</f>
        <v>194</v>
      </c>
      <c r="BH194" s="51">
        <f>F194*AO194</f>
        <v>0</v>
      </c>
      <c r="BI194" s="51">
        <f>F194*AP194</f>
        <v>0</v>
      </c>
      <c r="BJ194" s="51">
        <f>F194*G194</f>
        <v>0</v>
      </c>
      <c r="BK194" s="53" t="s">
        <v>118</v>
      </c>
      <c r="BL194" s="51">
        <v>771</v>
      </c>
      <c r="BW194" s="51">
        <v>12</v>
      </c>
      <c r="BX194" s="3" t="s">
        <v>555</v>
      </c>
    </row>
    <row r="195" spans="1:76">
      <c r="A195" s="54"/>
      <c r="C195" s="56" t="s">
        <v>327</v>
      </c>
      <c r="D195" s="57" t="s">
        <v>328</v>
      </c>
      <c r="F195" s="58">
        <v>5.3719999999999999</v>
      </c>
      <c r="J195" s="41"/>
    </row>
    <row r="196" spans="1:76">
      <c r="A196" s="1" t="s">
        <v>556</v>
      </c>
      <c r="B196" s="2" t="s">
        <v>557</v>
      </c>
      <c r="C196" s="75" t="s">
        <v>558</v>
      </c>
      <c r="D196" s="70"/>
      <c r="E196" s="2" t="s">
        <v>146</v>
      </c>
      <c r="F196" s="51">
        <v>2</v>
      </c>
      <c r="G196" s="52">
        <v>0</v>
      </c>
      <c r="H196" s="51">
        <f>ROUND(F196*G196,2)</f>
        <v>0</v>
      </c>
      <c r="J196" s="41"/>
      <c r="Z196" s="51">
        <f>ROUND(IF(AQ196="5",BJ196,0),2)</f>
        <v>0</v>
      </c>
      <c r="AB196" s="51">
        <f>ROUND(IF(AQ196="1",BH196,0),2)</f>
        <v>0</v>
      </c>
      <c r="AC196" s="51">
        <f>ROUND(IF(AQ196="1",BI196,0),2)</f>
        <v>0</v>
      </c>
      <c r="AD196" s="51">
        <f>ROUND(IF(AQ196="7",BH196,0),2)</f>
        <v>0</v>
      </c>
      <c r="AE196" s="51">
        <f>ROUND(IF(AQ196="7",BI196,0),2)</f>
        <v>0</v>
      </c>
      <c r="AF196" s="51">
        <f>ROUND(IF(AQ196="2",BH196,0),2)</f>
        <v>0</v>
      </c>
      <c r="AG196" s="51">
        <f>ROUND(IF(AQ196="2",BI196,0),2)</f>
        <v>0</v>
      </c>
      <c r="AH196" s="51">
        <f>ROUND(IF(AQ196="0",BJ196,0),2)</f>
        <v>0</v>
      </c>
      <c r="AI196" s="35" t="s">
        <v>4</v>
      </c>
      <c r="AJ196" s="51">
        <f>IF(AN196=0,H196,0)</f>
        <v>0</v>
      </c>
      <c r="AK196" s="51">
        <f>IF(AN196=12,H196,0)</f>
        <v>0</v>
      </c>
      <c r="AL196" s="51">
        <f>IF(AN196=21,H196,0)</f>
        <v>0</v>
      </c>
      <c r="AN196" s="51">
        <v>12</v>
      </c>
      <c r="AO196" s="51">
        <f>G196*0</f>
        <v>0</v>
      </c>
      <c r="AP196" s="51">
        <f>G196*(1-0)</f>
        <v>0</v>
      </c>
      <c r="AQ196" s="53" t="s">
        <v>149</v>
      </c>
      <c r="AV196" s="51">
        <f>ROUND(AW196+AX196,2)</f>
        <v>0</v>
      </c>
      <c r="AW196" s="51">
        <f>ROUND(F196*AO196,2)</f>
        <v>0</v>
      </c>
      <c r="AX196" s="51">
        <f>ROUND(F196*AP196,2)</f>
        <v>0</v>
      </c>
      <c r="AY196" s="53" t="s">
        <v>548</v>
      </c>
      <c r="AZ196" s="53" t="s">
        <v>549</v>
      </c>
      <c r="BA196" s="35" t="s">
        <v>117</v>
      </c>
      <c r="BC196" s="51">
        <f>AW196+AX196</f>
        <v>0</v>
      </c>
      <c r="BD196" s="51">
        <f>G196/(100-BE196)*100</f>
        <v>0</v>
      </c>
      <c r="BE196" s="51">
        <v>0</v>
      </c>
      <c r="BF196" s="51">
        <f>196</f>
        <v>196</v>
      </c>
      <c r="BH196" s="51">
        <f>F196*AO196</f>
        <v>0</v>
      </c>
      <c r="BI196" s="51">
        <f>F196*AP196</f>
        <v>0</v>
      </c>
      <c r="BJ196" s="51">
        <f>F196*G196</f>
        <v>0</v>
      </c>
      <c r="BK196" s="53" t="s">
        <v>118</v>
      </c>
      <c r="BL196" s="51">
        <v>771</v>
      </c>
      <c r="BW196" s="51">
        <v>12</v>
      </c>
      <c r="BX196" s="3" t="s">
        <v>558</v>
      </c>
    </row>
    <row r="197" spans="1:76">
      <c r="A197" s="54"/>
      <c r="C197" s="56" t="s">
        <v>559</v>
      </c>
      <c r="D197" s="57" t="s">
        <v>560</v>
      </c>
      <c r="F197" s="58">
        <v>2</v>
      </c>
      <c r="J197" s="41"/>
    </row>
    <row r="198" spans="1:76">
      <c r="A198" s="1" t="s">
        <v>561</v>
      </c>
      <c r="B198" s="2" t="s">
        <v>562</v>
      </c>
      <c r="C198" s="75" t="s">
        <v>563</v>
      </c>
      <c r="D198" s="70"/>
      <c r="E198" s="2" t="s">
        <v>146</v>
      </c>
      <c r="F198" s="51">
        <v>19.77</v>
      </c>
      <c r="G198" s="52">
        <v>0</v>
      </c>
      <c r="H198" s="51">
        <f>ROUND(F198*G198,2)</f>
        <v>0</v>
      </c>
      <c r="J198" s="41"/>
      <c r="Z198" s="51">
        <f>ROUND(IF(AQ198="5",BJ198,0),2)</f>
        <v>0</v>
      </c>
      <c r="AB198" s="51">
        <f>ROUND(IF(AQ198="1",BH198,0),2)</f>
        <v>0</v>
      </c>
      <c r="AC198" s="51">
        <f>ROUND(IF(AQ198="1",BI198,0),2)</f>
        <v>0</v>
      </c>
      <c r="AD198" s="51">
        <f>ROUND(IF(AQ198="7",BH198,0),2)</f>
        <v>0</v>
      </c>
      <c r="AE198" s="51">
        <f>ROUND(IF(AQ198="7",BI198,0),2)</f>
        <v>0</v>
      </c>
      <c r="AF198" s="51">
        <f>ROUND(IF(AQ198="2",BH198,0),2)</f>
        <v>0</v>
      </c>
      <c r="AG198" s="51">
        <f>ROUND(IF(AQ198="2",BI198,0),2)</f>
        <v>0</v>
      </c>
      <c r="AH198" s="51">
        <f>ROUND(IF(AQ198="0",BJ198,0),2)</f>
        <v>0</v>
      </c>
      <c r="AI198" s="35" t="s">
        <v>4</v>
      </c>
      <c r="AJ198" s="51">
        <f>IF(AN198=0,H198,0)</f>
        <v>0</v>
      </c>
      <c r="AK198" s="51">
        <f>IF(AN198=12,H198,0)</f>
        <v>0</v>
      </c>
      <c r="AL198" s="51">
        <f>IF(AN198=21,H198,0)</f>
        <v>0</v>
      </c>
      <c r="AN198" s="51">
        <v>12</v>
      </c>
      <c r="AO198" s="51">
        <f>G198*0.445198753</f>
        <v>0</v>
      </c>
      <c r="AP198" s="51">
        <f>G198*(1-0.445198753)</f>
        <v>0</v>
      </c>
      <c r="AQ198" s="53" t="s">
        <v>149</v>
      </c>
      <c r="AV198" s="51">
        <f>ROUND(AW198+AX198,2)</f>
        <v>0</v>
      </c>
      <c r="AW198" s="51">
        <f>ROUND(F198*AO198,2)</f>
        <v>0</v>
      </c>
      <c r="AX198" s="51">
        <f>ROUND(F198*AP198,2)</f>
        <v>0</v>
      </c>
      <c r="AY198" s="53" t="s">
        <v>548</v>
      </c>
      <c r="AZ198" s="53" t="s">
        <v>549</v>
      </c>
      <c r="BA198" s="35" t="s">
        <v>117</v>
      </c>
      <c r="BC198" s="51">
        <f>AW198+AX198</f>
        <v>0</v>
      </c>
      <c r="BD198" s="51">
        <f>G198/(100-BE198)*100</f>
        <v>0</v>
      </c>
      <c r="BE198" s="51">
        <v>0</v>
      </c>
      <c r="BF198" s="51">
        <f>198</f>
        <v>198</v>
      </c>
      <c r="BH198" s="51">
        <f>F198*AO198</f>
        <v>0</v>
      </c>
      <c r="BI198" s="51">
        <f>F198*AP198</f>
        <v>0</v>
      </c>
      <c r="BJ198" s="51">
        <f>F198*G198</f>
        <v>0</v>
      </c>
      <c r="BK198" s="53" t="s">
        <v>118</v>
      </c>
      <c r="BL198" s="51">
        <v>771</v>
      </c>
      <c r="BW198" s="51">
        <v>12</v>
      </c>
      <c r="BX198" s="3" t="s">
        <v>563</v>
      </c>
    </row>
    <row r="199" spans="1:76">
      <c r="A199" s="54"/>
      <c r="C199" s="56" t="s">
        <v>337</v>
      </c>
      <c r="D199" s="57" t="s">
        <v>564</v>
      </c>
      <c r="F199" s="58">
        <v>8.67</v>
      </c>
      <c r="J199" s="41"/>
    </row>
    <row r="200" spans="1:76">
      <c r="A200" s="54"/>
      <c r="C200" s="56" t="s">
        <v>565</v>
      </c>
      <c r="D200" s="57" t="s">
        <v>566</v>
      </c>
      <c r="F200" s="58">
        <v>10.5</v>
      </c>
      <c r="J200" s="41"/>
    </row>
    <row r="201" spans="1:76">
      <c r="A201" s="54"/>
      <c r="C201" s="56" t="s">
        <v>567</v>
      </c>
      <c r="D201" s="57" t="s">
        <v>568</v>
      </c>
      <c r="F201" s="58">
        <v>0.6</v>
      </c>
      <c r="J201" s="41"/>
    </row>
    <row r="202" spans="1:76">
      <c r="A202" s="1" t="s">
        <v>569</v>
      </c>
      <c r="B202" s="2" t="s">
        <v>570</v>
      </c>
      <c r="C202" s="75" t="s">
        <v>571</v>
      </c>
      <c r="D202" s="70"/>
      <c r="E202" s="2" t="s">
        <v>114</v>
      </c>
      <c r="F202" s="51">
        <v>1</v>
      </c>
      <c r="G202" s="52">
        <v>0</v>
      </c>
      <c r="H202" s="51">
        <f>ROUND(F202*G202,2)</f>
        <v>0</v>
      </c>
      <c r="J202" s="41"/>
      <c r="Z202" s="51">
        <f>ROUND(IF(AQ202="5",BJ202,0),2)</f>
        <v>0</v>
      </c>
      <c r="AB202" s="51">
        <f>ROUND(IF(AQ202="1",BH202,0),2)</f>
        <v>0</v>
      </c>
      <c r="AC202" s="51">
        <f>ROUND(IF(AQ202="1",BI202,0),2)</f>
        <v>0</v>
      </c>
      <c r="AD202" s="51">
        <f>ROUND(IF(AQ202="7",BH202,0),2)</f>
        <v>0</v>
      </c>
      <c r="AE202" s="51">
        <f>ROUND(IF(AQ202="7",BI202,0),2)</f>
        <v>0</v>
      </c>
      <c r="AF202" s="51">
        <f>ROUND(IF(AQ202="2",BH202,0),2)</f>
        <v>0</v>
      </c>
      <c r="AG202" s="51">
        <f>ROUND(IF(AQ202="2",BI202,0),2)</f>
        <v>0</v>
      </c>
      <c r="AH202" s="51">
        <f>ROUND(IF(AQ202="0",BJ202,0),2)</f>
        <v>0</v>
      </c>
      <c r="AI202" s="35" t="s">
        <v>4</v>
      </c>
      <c r="AJ202" s="51">
        <f>IF(AN202=0,H202,0)</f>
        <v>0</v>
      </c>
      <c r="AK202" s="51">
        <f>IF(AN202=12,H202,0)</f>
        <v>0</v>
      </c>
      <c r="AL202" s="51">
        <f>IF(AN202=21,H202,0)</f>
        <v>0</v>
      </c>
      <c r="AN202" s="51">
        <v>12</v>
      </c>
      <c r="AO202" s="51">
        <f>G202*1</f>
        <v>0</v>
      </c>
      <c r="AP202" s="51">
        <f>G202*(1-1)</f>
        <v>0</v>
      </c>
      <c r="AQ202" s="53" t="s">
        <v>149</v>
      </c>
      <c r="AV202" s="51">
        <f>ROUND(AW202+AX202,2)</f>
        <v>0</v>
      </c>
      <c r="AW202" s="51">
        <f>ROUND(F202*AO202,2)</f>
        <v>0</v>
      </c>
      <c r="AX202" s="51">
        <f>ROUND(F202*AP202,2)</f>
        <v>0</v>
      </c>
      <c r="AY202" s="53" t="s">
        <v>548</v>
      </c>
      <c r="AZ202" s="53" t="s">
        <v>549</v>
      </c>
      <c r="BA202" s="35" t="s">
        <v>117</v>
      </c>
      <c r="BC202" s="51">
        <f>AW202+AX202</f>
        <v>0</v>
      </c>
      <c r="BD202" s="51">
        <f>G202/(100-BE202)*100</f>
        <v>0</v>
      </c>
      <c r="BE202" s="51">
        <v>0</v>
      </c>
      <c r="BF202" s="51">
        <f>202</f>
        <v>202</v>
      </c>
      <c r="BH202" s="51">
        <f>F202*AO202</f>
        <v>0</v>
      </c>
      <c r="BI202" s="51">
        <f>F202*AP202</f>
        <v>0</v>
      </c>
      <c r="BJ202" s="51">
        <f>F202*G202</f>
        <v>0</v>
      </c>
      <c r="BK202" s="53" t="s">
        <v>257</v>
      </c>
      <c r="BL202" s="51">
        <v>771</v>
      </c>
      <c r="BW202" s="51">
        <v>12</v>
      </c>
      <c r="BX202" s="3" t="s">
        <v>571</v>
      </c>
    </row>
    <row r="203" spans="1:76">
      <c r="A203" s="1" t="s">
        <v>572</v>
      </c>
      <c r="B203" s="2" t="s">
        <v>573</v>
      </c>
      <c r="C203" s="75" t="s">
        <v>574</v>
      </c>
      <c r="D203" s="70"/>
      <c r="E203" s="2" t="s">
        <v>124</v>
      </c>
      <c r="F203" s="51">
        <v>5.9089999999999998</v>
      </c>
      <c r="G203" s="52">
        <v>0</v>
      </c>
      <c r="H203" s="51">
        <f>ROUND(F203*G203,2)</f>
        <v>0</v>
      </c>
      <c r="J203" s="41"/>
      <c r="Z203" s="51">
        <f>ROUND(IF(AQ203="5",BJ203,0),2)</f>
        <v>0</v>
      </c>
      <c r="AB203" s="51">
        <f>ROUND(IF(AQ203="1",BH203,0),2)</f>
        <v>0</v>
      </c>
      <c r="AC203" s="51">
        <f>ROUND(IF(AQ203="1",BI203,0),2)</f>
        <v>0</v>
      </c>
      <c r="AD203" s="51">
        <f>ROUND(IF(AQ203="7",BH203,0),2)</f>
        <v>0</v>
      </c>
      <c r="AE203" s="51">
        <f>ROUND(IF(AQ203="7",BI203,0),2)</f>
        <v>0</v>
      </c>
      <c r="AF203" s="51">
        <f>ROUND(IF(AQ203="2",BH203,0),2)</f>
        <v>0</v>
      </c>
      <c r="AG203" s="51">
        <f>ROUND(IF(AQ203="2",BI203,0),2)</f>
        <v>0</v>
      </c>
      <c r="AH203" s="51">
        <f>ROUND(IF(AQ203="0",BJ203,0),2)</f>
        <v>0</v>
      </c>
      <c r="AI203" s="35" t="s">
        <v>4</v>
      </c>
      <c r="AJ203" s="51">
        <f>IF(AN203=0,H203,0)</f>
        <v>0</v>
      </c>
      <c r="AK203" s="51">
        <f>IF(AN203=12,H203,0)</f>
        <v>0</v>
      </c>
      <c r="AL203" s="51">
        <f>IF(AN203=21,H203,0)</f>
        <v>0</v>
      </c>
      <c r="AN203" s="51">
        <v>12</v>
      </c>
      <c r="AO203" s="51">
        <f>G203*1</f>
        <v>0</v>
      </c>
      <c r="AP203" s="51">
        <f>G203*(1-1)</f>
        <v>0</v>
      </c>
      <c r="AQ203" s="53" t="s">
        <v>149</v>
      </c>
      <c r="AV203" s="51">
        <f>ROUND(AW203+AX203,2)</f>
        <v>0</v>
      </c>
      <c r="AW203" s="51">
        <f>ROUND(F203*AO203,2)</f>
        <v>0</v>
      </c>
      <c r="AX203" s="51">
        <f>ROUND(F203*AP203,2)</f>
        <v>0</v>
      </c>
      <c r="AY203" s="53" t="s">
        <v>548</v>
      </c>
      <c r="AZ203" s="53" t="s">
        <v>549</v>
      </c>
      <c r="BA203" s="35" t="s">
        <v>117</v>
      </c>
      <c r="BC203" s="51">
        <f>AW203+AX203</f>
        <v>0</v>
      </c>
      <c r="BD203" s="51">
        <f>G203/(100-BE203)*100</f>
        <v>0</v>
      </c>
      <c r="BE203" s="51">
        <v>0</v>
      </c>
      <c r="BF203" s="51">
        <f>203</f>
        <v>203</v>
      </c>
      <c r="BH203" s="51">
        <f>F203*AO203</f>
        <v>0</v>
      </c>
      <c r="BI203" s="51">
        <f>F203*AP203</f>
        <v>0</v>
      </c>
      <c r="BJ203" s="51">
        <f>F203*G203</f>
        <v>0</v>
      </c>
      <c r="BK203" s="53" t="s">
        <v>257</v>
      </c>
      <c r="BL203" s="51">
        <v>771</v>
      </c>
      <c r="BW203" s="51">
        <v>12</v>
      </c>
      <c r="BX203" s="3" t="s">
        <v>574</v>
      </c>
    </row>
    <row r="204" spans="1:76">
      <c r="A204" s="54"/>
      <c r="C204" s="56" t="s">
        <v>575</v>
      </c>
      <c r="D204" s="57" t="s">
        <v>4</v>
      </c>
      <c r="F204" s="58">
        <v>5.9089999999999998</v>
      </c>
      <c r="J204" s="41"/>
    </row>
    <row r="205" spans="1:76">
      <c r="A205" s="1" t="s">
        <v>576</v>
      </c>
      <c r="B205" s="2" t="s">
        <v>577</v>
      </c>
      <c r="C205" s="75" t="s">
        <v>578</v>
      </c>
      <c r="D205" s="70"/>
      <c r="E205" s="2" t="s">
        <v>285</v>
      </c>
      <c r="F205" s="51">
        <v>0.14299999999999999</v>
      </c>
      <c r="G205" s="52">
        <v>0</v>
      </c>
      <c r="H205" s="51">
        <f>ROUND(F205*G205,2)</f>
        <v>0</v>
      </c>
      <c r="J205" s="41"/>
      <c r="Z205" s="51">
        <f>ROUND(IF(AQ205="5",BJ205,0),2)</f>
        <v>0</v>
      </c>
      <c r="AB205" s="51">
        <f>ROUND(IF(AQ205="1",BH205,0),2)</f>
        <v>0</v>
      </c>
      <c r="AC205" s="51">
        <f>ROUND(IF(AQ205="1",BI205,0),2)</f>
        <v>0</v>
      </c>
      <c r="AD205" s="51">
        <f>ROUND(IF(AQ205="7",BH205,0),2)</f>
        <v>0</v>
      </c>
      <c r="AE205" s="51">
        <f>ROUND(IF(AQ205="7",BI205,0),2)</f>
        <v>0</v>
      </c>
      <c r="AF205" s="51">
        <f>ROUND(IF(AQ205="2",BH205,0),2)</f>
        <v>0</v>
      </c>
      <c r="AG205" s="51">
        <f>ROUND(IF(AQ205="2",BI205,0),2)</f>
        <v>0</v>
      </c>
      <c r="AH205" s="51">
        <f>ROUND(IF(AQ205="0",BJ205,0),2)</f>
        <v>0</v>
      </c>
      <c r="AI205" s="35" t="s">
        <v>4</v>
      </c>
      <c r="AJ205" s="51">
        <f>IF(AN205=0,H205,0)</f>
        <v>0</v>
      </c>
      <c r="AK205" s="51">
        <f>IF(AN205=12,H205,0)</f>
        <v>0</v>
      </c>
      <c r="AL205" s="51">
        <f>IF(AN205=21,H205,0)</f>
        <v>0</v>
      </c>
      <c r="AN205" s="51">
        <v>12</v>
      </c>
      <c r="AO205" s="51">
        <f>G205*0</f>
        <v>0</v>
      </c>
      <c r="AP205" s="51">
        <f>G205*(1-0)</f>
        <v>0</v>
      </c>
      <c r="AQ205" s="53" t="s">
        <v>139</v>
      </c>
      <c r="AV205" s="51">
        <f>ROUND(AW205+AX205,2)</f>
        <v>0</v>
      </c>
      <c r="AW205" s="51">
        <f>ROUND(F205*AO205,2)</f>
        <v>0</v>
      </c>
      <c r="AX205" s="51">
        <f>ROUND(F205*AP205,2)</f>
        <v>0</v>
      </c>
      <c r="AY205" s="53" t="s">
        <v>548</v>
      </c>
      <c r="AZ205" s="53" t="s">
        <v>549</v>
      </c>
      <c r="BA205" s="35" t="s">
        <v>117</v>
      </c>
      <c r="BC205" s="51">
        <f>AW205+AX205</f>
        <v>0</v>
      </c>
      <c r="BD205" s="51">
        <f>G205/(100-BE205)*100</f>
        <v>0</v>
      </c>
      <c r="BE205" s="51">
        <v>0</v>
      </c>
      <c r="BF205" s="51">
        <f>205</f>
        <v>205</v>
      </c>
      <c r="BH205" s="51">
        <f>F205*AO205</f>
        <v>0</v>
      </c>
      <c r="BI205" s="51">
        <f>F205*AP205</f>
        <v>0</v>
      </c>
      <c r="BJ205" s="51">
        <f>F205*G205</f>
        <v>0</v>
      </c>
      <c r="BK205" s="53" t="s">
        <v>118</v>
      </c>
      <c r="BL205" s="51">
        <v>771</v>
      </c>
      <c r="BW205" s="51">
        <v>12</v>
      </c>
      <c r="BX205" s="3" t="s">
        <v>578</v>
      </c>
    </row>
    <row r="206" spans="1:76">
      <c r="A206" s="47" t="s">
        <v>4</v>
      </c>
      <c r="B206" s="48" t="s">
        <v>579</v>
      </c>
      <c r="C206" s="150" t="s">
        <v>580</v>
      </c>
      <c r="D206" s="151"/>
      <c r="E206" s="49" t="s">
        <v>79</v>
      </c>
      <c r="F206" s="49" t="s">
        <v>79</v>
      </c>
      <c r="G206" s="50" t="s">
        <v>79</v>
      </c>
      <c r="H206" s="28">
        <f>SUM(H207:H225)</f>
        <v>0</v>
      </c>
      <c r="J206" s="41"/>
      <c r="AI206" s="35" t="s">
        <v>4</v>
      </c>
      <c r="AS206" s="28">
        <f>SUM(AJ207:AJ225)</f>
        <v>0</v>
      </c>
      <c r="AT206" s="28">
        <f>SUM(AK207:AK225)</f>
        <v>0</v>
      </c>
      <c r="AU206" s="28">
        <f>SUM(AL207:AL225)</f>
        <v>0</v>
      </c>
    </row>
    <row r="207" spans="1:76">
      <c r="A207" s="1" t="s">
        <v>581</v>
      </c>
      <c r="B207" s="2" t="s">
        <v>582</v>
      </c>
      <c r="C207" s="75" t="s">
        <v>583</v>
      </c>
      <c r="D207" s="70"/>
      <c r="E207" s="2" t="s">
        <v>146</v>
      </c>
      <c r="F207" s="51">
        <v>41.5</v>
      </c>
      <c r="G207" s="52">
        <v>0</v>
      </c>
      <c r="H207" s="51">
        <f>ROUND(F207*G207,2)</f>
        <v>0</v>
      </c>
      <c r="J207" s="41"/>
      <c r="Z207" s="51">
        <f>ROUND(IF(AQ207="5",BJ207,0),2)</f>
        <v>0</v>
      </c>
      <c r="AB207" s="51">
        <f>ROUND(IF(AQ207="1",BH207,0),2)</f>
        <v>0</v>
      </c>
      <c r="AC207" s="51">
        <f>ROUND(IF(AQ207="1",BI207,0),2)</f>
        <v>0</v>
      </c>
      <c r="AD207" s="51">
        <f>ROUND(IF(AQ207="7",BH207,0),2)</f>
        <v>0</v>
      </c>
      <c r="AE207" s="51">
        <f>ROUND(IF(AQ207="7",BI207,0),2)</f>
        <v>0</v>
      </c>
      <c r="AF207" s="51">
        <f>ROUND(IF(AQ207="2",BH207,0),2)</f>
        <v>0</v>
      </c>
      <c r="AG207" s="51">
        <f>ROUND(IF(AQ207="2",BI207,0),2)</f>
        <v>0</v>
      </c>
      <c r="AH207" s="51">
        <f>ROUND(IF(AQ207="0",BJ207,0),2)</f>
        <v>0</v>
      </c>
      <c r="AI207" s="35" t="s">
        <v>4</v>
      </c>
      <c r="AJ207" s="51">
        <f>IF(AN207=0,H207,0)</f>
        <v>0</v>
      </c>
      <c r="AK207" s="51">
        <f>IF(AN207=12,H207,0)</f>
        <v>0</v>
      </c>
      <c r="AL207" s="51">
        <f>IF(AN207=21,H207,0)</f>
        <v>0</v>
      </c>
      <c r="AN207" s="51">
        <v>12</v>
      </c>
      <c r="AO207" s="51">
        <f>G207*0</f>
        <v>0</v>
      </c>
      <c r="AP207" s="51">
        <f>G207*(1-0)</f>
        <v>0</v>
      </c>
      <c r="AQ207" s="53" t="s">
        <v>149</v>
      </c>
      <c r="AV207" s="51">
        <f>ROUND(AW207+AX207,2)</f>
        <v>0</v>
      </c>
      <c r="AW207" s="51">
        <f>ROUND(F207*AO207,2)</f>
        <v>0</v>
      </c>
      <c r="AX207" s="51">
        <f>ROUND(F207*AP207,2)</f>
        <v>0</v>
      </c>
      <c r="AY207" s="53" t="s">
        <v>584</v>
      </c>
      <c r="AZ207" s="53" t="s">
        <v>549</v>
      </c>
      <c r="BA207" s="35" t="s">
        <v>117</v>
      </c>
      <c r="BC207" s="51">
        <f>AW207+AX207</f>
        <v>0</v>
      </c>
      <c r="BD207" s="51">
        <f>G207/(100-BE207)*100</f>
        <v>0</v>
      </c>
      <c r="BE207" s="51">
        <v>0</v>
      </c>
      <c r="BF207" s="51">
        <f>207</f>
        <v>207</v>
      </c>
      <c r="BH207" s="51">
        <f>F207*AO207</f>
        <v>0</v>
      </c>
      <c r="BI207" s="51">
        <f>F207*AP207</f>
        <v>0</v>
      </c>
      <c r="BJ207" s="51">
        <f>F207*G207</f>
        <v>0</v>
      </c>
      <c r="BK207" s="53" t="s">
        <v>118</v>
      </c>
      <c r="BL207" s="51">
        <v>776</v>
      </c>
      <c r="BW207" s="51">
        <v>12</v>
      </c>
      <c r="BX207" s="3" t="s">
        <v>583</v>
      </c>
    </row>
    <row r="208" spans="1:76">
      <c r="A208" s="54"/>
      <c r="C208" s="56" t="s">
        <v>585</v>
      </c>
      <c r="D208" s="57" t="s">
        <v>586</v>
      </c>
      <c r="F208" s="58">
        <v>11.22</v>
      </c>
      <c r="J208" s="41"/>
    </row>
    <row r="209" spans="1:76">
      <c r="A209" s="54"/>
      <c r="C209" s="56" t="s">
        <v>587</v>
      </c>
      <c r="D209" s="57" t="s">
        <v>183</v>
      </c>
      <c r="F209" s="58">
        <v>18.05</v>
      </c>
      <c r="J209" s="41"/>
    </row>
    <row r="210" spans="1:76">
      <c r="A210" s="54"/>
      <c r="C210" s="56" t="s">
        <v>588</v>
      </c>
      <c r="D210" s="57" t="s">
        <v>179</v>
      </c>
      <c r="F210" s="58">
        <v>12.23</v>
      </c>
      <c r="J210" s="41"/>
    </row>
    <row r="211" spans="1:76">
      <c r="A211" s="1" t="s">
        <v>589</v>
      </c>
      <c r="B211" s="2" t="s">
        <v>590</v>
      </c>
      <c r="C211" s="75" t="s">
        <v>591</v>
      </c>
      <c r="D211" s="70"/>
      <c r="E211" s="2" t="s">
        <v>124</v>
      </c>
      <c r="F211" s="51">
        <v>37.607999999999997</v>
      </c>
      <c r="G211" s="52">
        <v>0</v>
      </c>
      <c r="H211" s="51">
        <f>ROUND(F211*G211,2)</f>
        <v>0</v>
      </c>
      <c r="J211" s="41"/>
      <c r="Z211" s="51">
        <f>ROUND(IF(AQ211="5",BJ211,0),2)</f>
        <v>0</v>
      </c>
      <c r="AB211" s="51">
        <f>ROUND(IF(AQ211="1",BH211,0),2)</f>
        <v>0</v>
      </c>
      <c r="AC211" s="51">
        <f>ROUND(IF(AQ211="1",BI211,0),2)</f>
        <v>0</v>
      </c>
      <c r="AD211" s="51">
        <f>ROUND(IF(AQ211="7",BH211,0),2)</f>
        <v>0</v>
      </c>
      <c r="AE211" s="51">
        <f>ROUND(IF(AQ211="7",BI211,0),2)</f>
        <v>0</v>
      </c>
      <c r="AF211" s="51">
        <f>ROUND(IF(AQ211="2",BH211,0),2)</f>
        <v>0</v>
      </c>
      <c r="AG211" s="51">
        <f>ROUND(IF(AQ211="2",BI211,0),2)</f>
        <v>0</v>
      </c>
      <c r="AH211" s="51">
        <f>ROUND(IF(AQ211="0",BJ211,0),2)</f>
        <v>0</v>
      </c>
      <c r="AI211" s="35" t="s">
        <v>4</v>
      </c>
      <c r="AJ211" s="51">
        <f>IF(AN211=0,H211,0)</f>
        <v>0</v>
      </c>
      <c r="AK211" s="51">
        <f>IF(AN211=12,H211,0)</f>
        <v>0</v>
      </c>
      <c r="AL211" s="51">
        <f>IF(AN211=21,H211,0)</f>
        <v>0</v>
      </c>
      <c r="AN211" s="51">
        <v>12</v>
      </c>
      <c r="AO211" s="51">
        <f>G211*0</f>
        <v>0</v>
      </c>
      <c r="AP211" s="51">
        <f>G211*(1-0)</f>
        <v>0</v>
      </c>
      <c r="AQ211" s="53" t="s">
        <v>149</v>
      </c>
      <c r="AV211" s="51">
        <f>ROUND(AW211+AX211,2)</f>
        <v>0</v>
      </c>
      <c r="AW211" s="51">
        <f>ROUND(F211*AO211,2)</f>
        <v>0</v>
      </c>
      <c r="AX211" s="51">
        <f>ROUND(F211*AP211,2)</f>
        <v>0</v>
      </c>
      <c r="AY211" s="53" t="s">
        <v>584</v>
      </c>
      <c r="AZ211" s="53" t="s">
        <v>549</v>
      </c>
      <c r="BA211" s="35" t="s">
        <v>117</v>
      </c>
      <c r="BC211" s="51">
        <f>AW211+AX211</f>
        <v>0</v>
      </c>
      <c r="BD211" s="51">
        <f>G211/(100-BE211)*100</f>
        <v>0</v>
      </c>
      <c r="BE211" s="51">
        <v>0</v>
      </c>
      <c r="BF211" s="51">
        <f>211</f>
        <v>211</v>
      </c>
      <c r="BH211" s="51">
        <f>F211*AO211</f>
        <v>0</v>
      </c>
      <c r="BI211" s="51">
        <f>F211*AP211</f>
        <v>0</v>
      </c>
      <c r="BJ211" s="51">
        <f>F211*G211</f>
        <v>0</v>
      </c>
      <c r="BK211" s="53" t="s">
        <v>118</v>
      </c>
      <c r="BL211" s="51">
        <v>776</v>
      </c>
      <c r="BW211" s="51">
        <v>12</v>
      </c>
      <c r="BX211" s="3" t="s">
        <v>591</v>
      </c>
    </row>
    <row r="212" spans="1:76">
      <c r="A212" s="54"/>
      <c r="C212" s="56" t="s">
        <v>592</v>
      </c>
      <c r="D212" s="57" t="s">
        <v>586</v>
      </c>
      <c r="F212" s="58">
        <v>7.3869999999999996</v>
      </c>
      <c r="J212" s="41"/>
    </row>
    <row r="213" spans="1:76">
      <c r="A213" s="54"/>
      <c r="C213" s="56" t="s">
        <v>593</v>
      </c>
      <c r="D213" s="57" t="s">
        <v>183</v>
      </c>
      <c r="F213" s="58">
        <v>20.638999999999999</v>
      </c>
      <c r="J213" s="41"/>
    </row>
    <row r="214" spans="1:76">
      <c r="A214" s="54"/>
      <c r="C214" s="56" t="s">
        <v>594</v>
      </c>
      <c r="D214" s="57" t="s">
        <v>179</v>
      </c>
      <c r="F214" s="58">
        <v>9.5820000000000007</v>
      </c>
      <c r="J214" s="41"/>
    </row>
    <row r="215" spans="1:76">
      <c r="A215" s="1" t="s">
        <v>595</v>
      </c>
      <c r="B215" s="2" t="s">
        <v>596</v>
      </c>
      <c r="C215" s="75" t="s">
        <v>597</v>
      </c>
      <c r="D215" s="70"/>
      <c r="E215" s="2" t="s">
        <v>146</v>
      </c>
      <c r="F215" s="51">
        <v>35.5</v>
      </c>
      <c r="G215" s="52">
        <v>0</v>
      </c>
      <c r="H215" s="51">
        <f>ROUND(F215*G215,2)</f>
        <v>0</v>
      </c>
      <c r="J215" s="41"/>
      <c r="Z215" s="51">
        <f>ROUND(IF(AQ215="5",BJ215,0),2)</f>
        <v>0</v>
      </c>
      <c r="AB215" s="51">
        <f>ROUND(IF(AQ215="1",BH215,0),2)</f>
        <v>0</v>
      </c>
      <c r="AC215" s="51">
        <f>ROUND(IF(AQ215="1",BI215,0),2)</f>
        <v>0</v>
      </c>
      <c r="AD215" s="51">
        <f>ROUND(IF(AQ215="7",BH215,0),2)</f>
        <v>0</v>
      </c>
      <c r="AE215" s="51">
        <f>ROUND(IF(AQ215="7",BI215,0),2)</f>
        <v>0</v>
      </c>
      <c r="AF215" s="51">
        <f>ROUND(IF(AQ215="2",BH215,0),2)</f>
        <v>0</v>
      </c>
      <c r="AG215" s="51">
        <f>ROUND(IF(AQ215="2",BI215,0),2)</f>
        <v>0</v>
      </c>
      <c r="AH215" s="51">
        <f>ROUND(IF(AQ215="0",BJ215,0),2)</f>
        <v>0</v>
      </c>
      <c r="AI215" s="35" t="s">
        <v>4</v>
      </c>
      <c r="AJ215" s="51">
        <f>IF(AN215=0,H215,0)</f>
        <v>0</v>
      </c>
      <c r="AK215" s="51">
        <f>IF(AN215=12,H215,0)</f>
        <v>0</v>
      </c>
      <c r="AL215" s="51">
        <f>IF(AN215=21,H215,0)</f>
        <v>0</v>
      </c>
      <c r="AN215" s="51">
        <v>12</v>
      </c>
      <c r="AO215" s="51">
        <f>G215*0.284296296</f>
        <v>0</v>
      </c>
      <c r="AP215" s="51">
        <f>G215*(1-0.284296296)</f>
        <v>0</v>
      </c>
      <c r="AQ215" s="53" t="s">
        <v>149</v>
      </c>
      <c r="AV215" s="51">
        <f>ROUND(AW215+AX215,2)</f>
        <v>0</v>
      </c>
      <c r="AW215" s="51">
        <f>ROUND(F215*AO215,2)</f>
        <v>0</v>
      </c>
      <c r="AX215" s="51">
        <f>ROUND(F215*AP215,2)</f>
        <v>0</v>
      </c>
      <c r="AY215" s="53" t="s">
        <v>584</v>
      </c>
      <c r="AZ215" s="53" t="s">
        <v>549</v>
      </c>
      <c r="BA215" s="35" t="s">
        <v>117</v>
      </c>
      <c r="BC215" s="51">
        <f>AW215+AX215</f>
        <v>0</v>
      </c>
      <c r="BD215" s="51">
        <f>G215/(100-BE215)*100</f>
        <v>0</v>
      </c>
      <c r="BE215" s="51">
        <v>0</v>
      </c>
      <c r="BF215" s="51">
        <f>215</f>
        <v>215</v>
      </c>
      <c r="BH215" s="51">
        <f>F215*AO215</f>
        <v>0</v>
      </c>
      <c r="BI215" s="51">
        <f>F215*AP215</f>
        <v>0</v>
      </c>
      <c r="BJ215" s="51">
        <f>F215*G215</f>
        <v>0</v>
      </c>
      <c r="BK215" s="53" t="s">
        <v>118</v>
      </c>
      <c r="BL215" s="51">
        <v>776</v>
      </c>
      <c r="BW215" s="51">
        <v>12</v>
      </c>
      <c r="BX215" s="3" t="s">
        <v>597</v>
      </c>
    </row>
    <row r="216" spans="1:76" ht="13.5" customHeight="1">
      <c r="A216" s="54"/>
      <c r="B216" s="55" t="s">
        <v>119</v>
      </c>
      <c r="C216" s="152" t="s">
        <v>598</v>
      </c>
      <c r="D216" s="153"/>
      <c r="E216" s="153"/>
      <c r="F216" s="153"/>
      <c r="G216" s="154"/>
      <c r="H216" s="153"/>
      <c r="I216" s="153"/>
      <c r="J216" s="155"/>
    </row>
    <row r="217" spans="1:76">
      <c r="A217" s="54"/>
      <c r="C217" s="56" t="s">
        <v>599</v>
      </c>
      <c r="D217" s="57" t="s">
        <v>600</v>
      </c>
      <c r="F217" s="58">
        <v>5.3</v>
      </c>
      <c r="J217" s="41"/>
    </row>
    <row r="218" spans="1:76">
      <c r="A218" s="54"/>
      <c r="C218" s="56" t="s">
        <v>601</v>
      </c>
      <c r="D218" s="57" t="s">
        <v>179</v>
      </c>
      <c r="F218" s="58">
        <v>12.15</v>
      </c>
      <c r="J218" s="41"/>
    </row>
    <row r="219" spans="1:76">
      <c r="A219" s="54"/>
      <c r="C219" s="56" t="s">
        <v>587</v>
      </c>
      <c r="D219" s="57" t="s">
        <v>183</v>
      </c>
      <c r="F219" s="58">
        <v>18.05</v>
      </c>
      <c r="J219" s="41"/>
    </row>
    <row r="220" spans="1:76">
      <c r="A220" s="1" t="s">
        <v>602</v>
      </c>
      <c r="B220" s="2" t="s">
        <v>603</v>
      </c>
      <c r="C220" s="75" t="s">
        <v>604</v>
      </c>
      <c r="D220" s="70"/>
      <c r="E220" s="2" t="s">
        <v>124</v>
      </c>
      <c r="F220" s="51">
        <v>35.06</v>
      </c>
      <c r="G220" s="52">
        <v>0</v>
      </c>
      <c r="H220" s="51">
        <f>ROUND(F220*G220,2)</f>
        <v>0</v>
      </c>
      <c r="J220" s="41"/>
      <c r="Z220" s="51">
        <f>ROUND(IF(AQ220="5",BJ220,0),2)</f>
        <v>0</v>
      </c>
      <c r="AB220" s="51">
        <f>ROUND(IF(AQ220="1",BH220,0),2)</f>
        <v>0</v>
      </c>
      <c r="AC220" s="51">
        <f>ROUND(IF(AQ220="1",BI220,0),2)</f>
        <v>0</v>
      </c>
      <c r="AD220" s="51">
        <f>ROUND(IF(AQ220="7",BH220,0),2)</f>
        <v>0</v>
      </c>
      <c r="AE220" s="51">
        <f>ROUND(IF(AQ220="7",BI220,0),2)</f>
        <v>0</v>
      </c>
      <c r="AF220" s="51">
        <f>ROUND(IF(AQ220="2",BH220,0),2)</f>
        <v>0</v>
      </c>
      <c r="AG220" s="51">
        <f>ROUND(IF(AQ220="2",BI220,0),2)</f>
        <v>0</v>
      </c>
      <c r="AH220" s="51">
        <f>ROUND(IF(AQ220="0",BJ220,0),2)</f>
        <v>0</v>
      </c>
      <c r="AI220" s="35" t="s">
        <v>4</v>
      </c>
      <c r="AJ220" s="51">
        <f>IF(AN220=0,H220,0)</f>
        <v>0</v>
      </c>
      <c r="AK220" s="51">
        <f>IF(AN220=12,H220,0)</f>
        <v>0</v>
      </c>
      <c r="AL220" s="51">
        <f>IF(AN220=21,H220,0)</f>
        <v>0</v>
      </c>
      <c r="AN220" s="51">
        <v>12</v>
      </c>
      <c r="AO220" s="51">
        <f>G220*0.15914468</f>
        <v>0</v>
      </c>
      <c r="AP220" s="51">
        <f>G220*(1-0.15914468)</f>
        <v>0</v>
      </c>
      <c r="AQ220" s="53" t="s">
        <v>149</v>
      </c>
      <c r="AV220" s="51">
        <f>ROUND(AW220+AX220,2)</f>
        <v>0</v>
      </c>
      <c r="AW220" s="51">
        <f>ROUND(F220*AO220,2)</f>
        <v>0</v>
      </c>
      <c r="AX220" s="51">
        <f>ROUND(F220*AP220,2)</f>
        <v>0</v>
      </c>
      <c r="AY220" s="53" t="s">
        <v>584</v>
      </c>
      <c r="AZ220" s="53" t="s">
        <v>549</v>
      </c>
      <c r="BA220" s="35" t="s">
        <v>117</v>
      </c>
      <c r="BC220" s="51">
        <f>AW220+AX220</f>
        <v>0</v>
      </c>
      <c r="BD220" s="51">
        <f>G220/(100-BE220)*100</f>
        <v>0</v>
      </c>
      <c r="BE220" s="51">
        <v>0</v>
      </c>
      <c r="BF220" s="51">
        <f>220</f>
        <v>220</v>
      </c>
      <c r="BH220" s="51">
        <f>F220*AO220</f>
        <v>0</v>
      </c>
      <c r="BI220" s="51">
        <f>F220*AP220</f>
        <v>0</v>
      </c>
      <c r="BJ220" s="51">
        <f>F220*G220</f>
        <v>0</v>
      </c>
      <c r="BK220" s="53" t="s">
        <v>118</v>
      </c>
      <c r="BL220" s="51">
        <v>776</v>
      </c>
      <c r="BW220" s="51">
        <v>12</v>
      </c>
      <c r="BX220" s="3" t="s">
        <v>604</v>
      </c>
    </row>
    <row r="221" spans="1:76">
      <c r="A221" s="54"/>
      <c r="C221" s="56" t="s">
        <v>605</v>
      </c>
      <c r="D221" s="57" t="s">
        <v>4</v>
      </c>
      <c r="F221" s="58">
        <v>35.06</v>
      </c>
      <c r="J221" s="41"/>
    </row>
    <row r="222" spans="1:76">
      <c r="A222" s="1" t="s">
        <v>606</v>
      </c>
      <c r="B222" s="2" t="s">
        <v>607</v>
      </c>
      <c r="C222" s="75" t="s">
        <v>608</v>
      </c>
      <c r="D222" s="70"/>
      <c r="E222" s="2" t="s">
        <v>524</v>
      </c>
      <c r="F222" s="51">
        <v>1</v>
      </c>
      <c r="G222" s="52">
        <v>0</v>
      </c>
      <c r="H222" s="51">
        <f>ROUND(F222*G222,2)</f>
        <v>0</v>
      </c>
      <c r="J222" s="41"/>
      <c r="Z222" s="51">
        <f>ROUND(IF(AQ222="5",BJ222,0),2)</f>
        <v>0</v>
      </c>
      <c r="AB222" s="51">
        <f>ROUND(IF(AQ222="1",BH222,0),2)</f>
        <v>0</v>
      </c>
      <c r="AC222" s="51">
        <f>ROUND(IF(AQ222="1",BI222,0),2)</f>
        <v>0</v>
      </c>
      <c r="AD222" s="51">
        <f>ROUND(IF(AQ222="7",BH222,0),2)</f>
        <v>0</v>
      </c>
      <c r="AE222" s="51">
        <f>ROUND(IF(AQ222="7",BI222,0),2)</f>
        <v>0</v>
      </c>
      <c r="AF222" s="51">
        <f>ROUND(IF(AQ222="2",BH222,0),2)</f>
        <v>0</v>
      </c>
      <c r="AG222" s="51">
        <f>ROUND(IF(AQ222="2",BI222,0),2)</f>
        <v>0</v>
      </c>
      <c r="AH222" s="51">
        <f>ROUND(IF(AQ222="0",BJ222,0),2)</f>
        <v>0</v>
      </c>
      <c r="AI222" s="35" t="s">
        <v>4</v>
      </c>
      <c r="AJ222" s="51">
        <f>IF(AN222=0,H222,0)</f>
        <v>0</v>
      </c>
      <c r="AK222" s="51">
        <f>IF(AN222=12,H222,0)</f>
        <v>0</v>
      </c>
      <c r="AL222" s="51">
        <f>IF(AN222=21,H222,0)</f>
        <v>0</v>
      </c>
      <c r="AN222" s="51">
        <v>12</v>
      </c>
      <c r="AO222" s="51">
        <f>G222*0</f>
        <v>0</v>
      </c>
      <c r="AP222" s="51">
        <f>G222*(1-0)</f>
        <v>0</v>
      </c>
      <c r="AQ222" s="53" t="s">
        <v>149</v>
      </c>
      <c r="AV222" s="51">
        <f>ROUND(AW222+AX222,2)</f>
        <v>0</v>
      </c>
      <c r="AW222" s="51">
        <f>ROUND(F222*AO222,2)</f>
        <v>0</v>
      </c>
      <c r="AX222" s="51">
        <f>ROUND(F222*AP222,2)</f>
        <v>0</v>
      </c>
      <c r="AY222" s="53" t="s">
        <v>584</v>
      </c>
      <c r="AZ222" s="53" t="s">
        <v>549</v>
      </c>
      <c r="BA222" s="35" t="s">
        <v>117</v>
      </c>
      <c r="BC222" s="51">
        <f>AW222+AX222</f>
        <v>0</v>
      </c>
      <c r="BD222" s="51">
        <f>G222/(100-BE222)*100</f>
        <v>0</v>
      </c>
      <c r="BE222" s="51">
        <v>0</v>
      </c>
      <c r="BF222" s="51">
        <f>222</f>
        <v>222</v>
      </c>
      <c r="BH222" s="51">
        <f>F222*AO222</f>
        <v>0</v>
      </c>
      <c r="BI222" s="51">
        <f>F222*AP222</f>
        <v>0</v>
      </c>
      <c r="BJ222" s="51">
        <f>F222*G222</f>
        <v>0</v>
      </c>
      <c r="BK222" s="53" t="s">
        <v>118</v>
      </c>
      <c r="BL222" s="51">
        <v>776</v>
      </c>
      <c r="BW222" s="51">
        <v>12</v>
      </c>
      <c r="BX222" s="3" t="s">
        <v>608</v>
      </c>
    </row>
    <row r="223" spans="1:76">
      <c r="A223" s="1" t="s">
        <v>609</v>
      </c>
      <c r="B223" s="2" t="s">
        <v>610</v>
      </c>
      <c r="C223" s="75" t="s">
        <v>611</v>
      </c>
      <c r="D223" s="70"/>
      <c r="E223" s="2" t="s">
        <v>124</v>
      </c>
      <c r="F223" s="51">
        <v>38.566000000000003</v>
      </c>
      <c r="G223" s="52">
        <v>0</v>
      </c>
      <c r="H223" s="51">
        <f>ROUND(F223*G223,2)</f>
        <v>0</v>
      </c>
      <c r="J223" s="41"/>
      <c r="Z223" s="51">
        <f>ROUND(IF(AQ223="5",BJ223,0),2)</f>
        <v>0</v>
      </c>
      <c r="AB223" s="51">
        <f>ROUND(IF(AQ223="1",BH223,0),2)</f>
        <v>0</v>
      </c>
      <c r="AC223" s="51">
        <f>ROUND(IF(AQ223="1",BI223,0),2)</f>
        <v>0</v>
      </c>
      <c r="AD223" s="51">
        <f>ROUND(IF(AQ223="7",BH223,0),2)</f>
        <v>0</v>
      </c>
      <c r="AE223" s="51">
        <f>ROUND(IF(AQ223="7",BI223,0),2)</f>
        <v>0</v>
      </c>
      <c r="AF223" s="51">
        <f>ROUND(IF(AQ223="2",BH223,0),2)</f>
        <v>0</v>
      </c>
      <c r="AG223" s="51">
        <f>ROUND(IF(AQ223="2",BI223,0),2)</f>
        <v>0</v>
      </c>
      <c r="AH223" s="51">
        <f>ROUND(IF(AQ223="0",BJ223,0),2)</f>
        <v>0</v>
      </c>
      <c r="AI223" s="35" t="s">
        <v>4</v>
      </c>
      <c r="AJ223" s="51">
        <f>IF(AN223=0,H223,0)</f>
        <v>0</v>
      </c>
      <c r="AK223" s="51">
        <f>IF(AN223=12,H223,0)</f>
        <v>0</v>
      </c>
      <c r="AL223" s="51">
        <f>IF(AN223=21,H223,0)</f>
        <v>0</v>
      </c>
      <c r="AN223" s="51">
        <v>12</v>
      </c>
      <c r="AO223" s="51">
        <f>G223*1</f>
        <v>0</v>
      </c>
      <c r="AP223" s="51">
        <f>G223*(1-1)</f>
        <v>0</v>
      </c>
      <c r="AQ223" s="53" t="s">
        <v>149</v>
      </c>
      <c r="AV223" s="51">
        <f>ROUND(AW223+AX223,2)</f>
        <v>0</v>
      </c>
      <c r="AW223" s="51">
        <f>ROUND(F223*AO223,2)</f>
        <v>0</v>
      </c>
      <c r="AX223" s="51">
        <f>ROUND(F223*AP223,2)</f>
        <v>0</v>
      </c>
      <c r="AY223" s="53" t="s">
        <v>584</v>
      </c>
      <c r="AZ223" s="53" t="s">
        <v>549</v>
      </c>
      <c r="BA223" s="35" t="s">
        <v>117</v>
      </c>
      <c r="BC223" s="51">
        <f>AW223+AX223</f>
        <v>0</v>
      </c>
      <c r="BD223" s="51">
        <f>G223/(100-BE223)*100</f>
        <v>0</v>
      </c>
      <c r="BE223" s="51">
        <v>0</v>
      </c>
      <c r="BF223" s="51">
        <f>223</f>
        <v>223</v>
      </c>
      <c r="BH223" s="51">
        <f>F223*AO223</f>
        <v>0</v>
      </c>
      <c r="BI223" s="51">
        <f>F223*AP223</f>
        <v>0</v>
      </c>
      <c r="BJ223" s="51">
        <f>F223*G223</f>
        <v>0</v>
      </c>
      <c r="BK223" s="53" t="s">
        <v>257</v>
      </c>
      <c r="BL223" s="51">
        <v>776</v>
      </c>
      <c r="BW223" s="51">
        <v>12</v>
      </c>
      <c r="BX223" s="3" t="s">
        <v>611</v>
      </c>
    </row>
    <row r="224" spans="1:76">
      <c r="A224" s="54"/>
      <c r="C224" s="56" t="s">
        <v>612</v>
      </c>
      <c r="D224" s="57" t="s">
        <v>4</v>
      </c>
      <c r="F224" s="58">
        <v>38.566000000000003</v>
      </c>
      <c r="J224" s="41"/>
    </row>
    <row r="225" spans="1:76">
      <c r="A225" s="1" t="s">
        <v>613</v>
      </c>
      <c r="B225" s="2" t="s">
        <v>614</v>
      </c>
      <c r="C225" s="75" t="s">
        <v>615</v>
      </c>
      <c r="D225" s="70"/>
      <c r="E225" s="2" t="s">
        <v>285</v>
      </c>
      <c r="F225" s="51">
        <v>0.253</v>
      </c>
      <c r="G225" s="52">
        <v>0</v>
      </c>
      <c r="H225" s="51">
        <f>ROUND(F225*G225,2)</f>
        <v>0</v>
      </c>
      <c r="J225" s="41"/>
      <c r="Z225" s="51">
        <f>ROUND(IF(AQ225="5",BJ225,0),2)</f>
        <v>0</v>
      </c>
      <c r="AB225" s="51">
        <f>ROUND(IF(AQ225="1",BH225,0),2)</f>
        <v>0</v>
      </c>
      <c r="AC225" s="51">
        <f>ROUND(IF(AQ225="1",BI225,0),2)</f>
        <v>0</v>
      </c>
      <c r="AD225" s="51">
        <f>ROUND(IF(AQ225="7",BH225,0),2)</f>
        <v>0</v>
      </c>
      <c r="AE225" s="51">
        <f>ROUND(IF(AQ225="7",BI225,0),2)</f>
        <v>0</v>
      </c>
      <c r="AF225" s="51">
        <f>ROUND(IF(AQ225="2",BH225,0),2)</f>
        <v>0</v>
      </c>
      <c r="AG225" s="51">
        <f>ROUND(IF(AQ225="2",BI225,0),2)</f>
        <v>0</v>
      </c>
      <c r="AH225" s="51">
        <f>ROUND(IF(AQ225="0",BJ225,0),2)</f>
        <v>0</v>
      </c>
      <c r="AI225" s="35" t="s">
        <v>4</v>
      </c>
      <c r="AJ225" s="51">
        <f>IF(AN225=0,H225,0)</f>
        <v>0</v>
      </c>
      <c r="AK225" s="51">
        <f>IF(AN225=12,H225,0)</f>
        <v>0</v>
      </c>
      <c r="AL225" s="51">
        <f>IF(AN225=21,H225,0)</f>
        <v>0</v>
      </c>
      <c r="AN225" s="51">
        <v>12</v>
      </c>
      <c r="AO225" s="51">
        <f>G225*0</f>
        <v>0</v>
      </c>
      <c r="AP225" s="51">
        <f>G225*(1-0)</f>
        <v>0</v>
      </c>
      <c r="AQ225" s="53" t="s">
        <v>139</v>
      </c>
      <c r="AV225" s="51">
        <f>ROUND(AW225+AX225,2)</f>
        <v>0</v>
      </c>
      <c r="AW225" s="51">
        <f>ROUND(F225*AO225,2)</f>
        <v>0</v>
      </c>
      <c r="AX225" s="51">
        <f>ROUND(F225*AP225,2)</f>
        <v>0</v>
      </c>
      <c r="AY225" s="53" t="s">
        <v>584</v>
      </c>
      <c r="AZ225" s="53" t="s">
        <v>549</v>
      </c>
      <c r="BA225" s="35" t="s">
        <v>117</v>
      </c>
      <c r="BC225" s="51">
        <f>AW225+AX225</f>
        <v>0</v>
      </c>
      <c r="BD225" s="51">
        <f>G225/(100-BE225)*100</f>
        <v>0</v>
      </c>
      <c r="BE225" s="51">
        <v>0</v>
      </c>
      <c r="BF225" s="51">
        <f>225</f>
        <v>225</v>
      </c>
      <c r="BH225" s="51">
        <f>F225*AO225</f>
        <v>0</v>
      </c>
      <c r="BI225" s="51">
        <f>F225*AP225</f>
        <v>0</v>
      </c>
      <c r="BJ225" s="51">
        <f>F225*G225</f>
        <v>0</v>
      </c>
      <c r="BK225" s="53" t="s">
        <v>118</v>
      </c>
      <c r="BL225" s="51">
        <v>776</v>
      </c>
      <c r="BW225" s="51">
        <v>12</v>
      </c>
      <c r="BX225" s="3" t="s">
        <v>615</v>
      </c>
    </row>
    <row r="226" spans="1:76">
      <c r="A226" s="47" t="s">
        <v>4</v>
      </c>
      <c r="B226" s="48" t="s">
        <v>616</v>
      </c>
      <c r="C226" s="150" t="s">
        <v>617</v>
      </c>
      <c r="D226" s="151"/>
      <c r="E226" s="49" t="s">
        <v>79</v>
      </c>
      <c r="F226" s="49" t="s">
        <v>79</v>
      </c>
      <c r="G226" s="50" t="s">
        <v>79</v>
      </c>
      <c r="H226" s="28">
        <f>SUM(H227:H229)</f>
        <v>0</v>
      </c>
      <c r="J226" s="41"/>
      <c r="AI226" s="35" t="s">
        <v>4</v>
      </c>
      <c r="AS226" s="28">
        <f>SUM(AJ227:AJ229)</f>
        <v>0</v>
      </c>
      <c r="AT226" s="28">
        <f>SUM(AK227:AK229)</f>
        <v>0</v>
      </c>
      <c r="AU226" s="28">
        <f>SUM(AL227:AL229)</f>
        <v>0</v>
      </c>
    </row>
    <row r="227" spans="1:76">
      <c r="A227" s="1" t="s">
        <v>618</v>
      </c>
      <c r="B227" s="2" t="s">
        <v>619</v>
      </c>
      <c r="C227" s="75" t="s">
        <v>620</v>
      </c>
      <c r="D227" s="70"/>
      <c r="E227" s="2" t="s">
        <v>124</v>
      </c>
      <c r="F227" s="51">
        <v>35.06</v>
      </c>
      <c r="G227" s="52">
        <v>0</v>
      </c>
      <c r="H227" s="51">
        <f>ROUND(F227*G227,2)</f>
        <v>0</v>
      </c>
      <c r="J227" s="41"/>
      <c r="Z227" s="51">
        <f>ROUND(IF(AQ227="5",BJ227,0),2)</f>
        <v>0</v>
      </c>
      <c r="AB227" s="51">
        <f>ROUND(IF(AQ227="1",BH227,0),2)</f>
        <v>0</v>
      </c>
      <c r="AC227" s="51">
        <f>ROUND(IF(AQ227="1",BI227,0),2)</f>
        <v>0</v>
      </c>
      <c r="AD227" s="51">
        <f>ROUND(IF(AQ227="7",BH227,0),2)</f>
        <v>0</v>
      </c>
      <c r="AE227" s="51">
        <f>ROUND(IF(AQ227="7",BI227,0),2)</f>
        <v>0</v>
      </c>
      <c r="AF227" s="51">
        <f>ROUND(IF(AQ227="2",BH227,0),2)</f>
        <v>0</v>
      </c>
      <c r="AG227" s="51">
        <f>ROUND(IF(AQ227="2",BI227,0),2)</f>
        <v>0</v>
      </c>
      <c r="AH227" s="51">
        <f>ROUND(IF(AQ227="0",BJ227,0),2)</f>
        <v>0</v>
      </c>
      <c r="AI227" s="35" t="s">
        <v>4</v>
      </c>
      <c r="AJ227" s="51">
        <f>IF(AN227=0,H227,0)</f>
        <v>0</v>
      </c>
      <c r="AK227" s="51">
        <f>IF(AN227=12,H227,0)</f>
        <v>0</v>
      </c>
      <c r="AL227" s="51">
        <f>IF(AN227=21,H227,0)</f>
        <v>0</v>
      </c>
      <c r="AN227" s="51">
        <v>12</v>
      </c>
      <c r="AO227" s="51">
        <f>G227*0.147013122</f>
        <v>0</v>
      </c>
      <c r="AP227" s="51">
        <f>G227*(1-0.147013122)</f>
        <v>0</v>
      </c>
      <c r="AQ227" s="53" t="s">
        <v>149</v>
      </c>
      <c r="AV227" s="51">
        <f>ROUND(AW227+AX227,2)</f>
        <v>0</v>
      </c>
      <c r="AW227" s="51">
        <f>ROUND(F227*AO227,2)</f>
        <v>0</v>
      </c>
      <c r="AX227" s="51">
        <f>ROUND(F227*AP227,2)</f>
        <v>0</v>
      </c>
      <c r="AY227" s="53" t="s">
        <v>621</v>
      </c>
      <c r="AZ227" s="53" t="s">
        <v>549</v>
      </c>
      <c r="BA227" s="35" t="s">
        <v>117</v>
      </c>
      <c r="BC227" s="51">
        <f>AW227+AX227</f>
        <v>0</v>
      </c>
      <c r="BD227" s="51">
        <f>G227/(100-BE227)*100</f>
        <v>0</v>
      </c>
      <c r="BE227" s="51">
        <v>0</v>
      </c>
      <c r="BF227" s="51">
        <f>227</f>
        <v>227</v>
      </c>
      <c r="BH227" s="51">
        <f>F227*AO227</f>
        <v>0</v>
      </c>
      <c r="BI227" s="51">
        <f>F227*AP227</f>
        <v>0</v>
      </c>
      <c r="BJ227" s="51">
        <f>F227*G227</f>
        <v>0</v>
      </c>
      <c r="BK227" s="53" t="s">
        <v>118</v>
      </c>
      <c r="BL227" s="51">
        <v>777</v>
      </c>
      <c r="BW227" s="51">
        <v>12</v>
      </c>
      <c r="BX227" s="3" t="s">
        <v>620</v>
      </c>
    </row>
    <row r="228" spans="1:76">
      <c r="A228" s="1" t="s">
        <v>622</v>
      </c>
      <c r="B228" s="2" t="s">
        <v>623</v>
      </c>
      <c r="C228" s="75" t="s">
        <v>624</v>
      </c>
      <c r="D228" s="70"/>
      <c r="E228" s="2" t="s">
        <v>124</v>
      </c>
      <c r="F228" s="51">
        <v>35.06</v>
      </c>
      <c r="G228" s="52">
        <v>0</v>
      </c>
      <c r="H228" s="51">
        <f>ROUND(F228*G228,2)</f>
        <v>0</v>
      </c>
      <c r="J228" s="41"/>
      <c r="Z228" s="51">
        <f>ROUND(IF(AQ228="5",BJ228,0),2)</f>
        <v>0</v>
      </c>
      <c r="AB228" s="51">
        <f>ROUND(IF(AQ228="1",BH228,0),2)</f>
        <v>0</v>
      </c>
      <c r="AC228" s="51">
        <f>ROUND(IF(AQ228="1",BI228,0),2)</f>
        <v>0</v>
      </c>
      <c r="AD228" s="51">
        <f>ROUND(IF(AQ228="7",BH228,0),2)</f>
        <v>0</v>
      </c>
      <c r="AE228" s="51">
        <f>ROUND(IF(AQ228="7",BI228,0),2)</f>
        <v>0</v>
      </c>
      <c r="AF228" s="51">
        <f>ROUND(IF(AQ228="2",BH228,0),2)</f>
        <v>0</v>
      </c>
      <c r="AG228" s="51">
        <f>ROUND(IF(AQ228="2",BI228,0),2)</f>
        <v>0</v>
      </c>
      <c r="AH228" s="51">
        <f>ROUND(IF(AQ228="0",BJ228,0),2)</f>
        <v>0</v>
      </c>
      <c r="AI228" s="35" t="s">
        <v>4</v>
      </c>
      <c r="AJ228" s="51">
        <f>IF(AN228=0,H228,0)</f>
        <v>0</v>
      </c>
      <c r="AK228" s="51">
        <f>IF(AN228=12,H228,0)</f>
        <v>0</v>
      </c>
      <c r="AL228" s="51">
        <f>IF(AN228=21,H228,0)</f>
        <v>0</v>
      </c>
      <c r="AN228" s="51">
        <v>12</v>
      </c>
      <c r="AO228" s="51">
        <f>G228*0.198619812</f>
        <v>0</v>
      </c>
      <c r="AP228" s="51">
        <f>G228*(1-0.198619812)</f>
        <v>0</v>
      </c>
      <c r="AQ228" s="53" t="s">
        <v>149</v>
      </c>
      <c r="AV228" s="51">
        <f>ROUND(AW228+AX228,2)</f>
        <v>0</v>
      </c>
      <c r="AW228" s="51">
        <f>ROUND(F228*AO228,2)</f>
        <v>0</v>
      </c>
      <c r="AX228" s="51">
        <f>ROUND(F228*AP228,2)</f>
        <v>0</v>
      </c>
      <c r="AY228" s="53" t="s">
        <v>621</v>
      </c>
      <c r="AZ228" s="53" t="s">
        <v>549</v>
      </c>
      <c r="BA228" s="35" t="s">
        <v>117</v>
      </c>
      <c r="BC228" s="51">
        <f>AW228+AX228</f>
        <v>0</v>
      </c>
      <c r="BD228" s="51">
        <f>G228/(100-BE228)*100</f>
        <v>0</v>
      </c>
      <c r="BE228" s="51">
        <v>0</v>
      </c>
      <c r="BF228" s="51">
        <f>228</f>
        <v>228</v>
      </c>
      <c r="BH228" s="51">
        <f>F228*AO228</f>
        <v>0</v>
      </c>
      <c r="BI228" s="51">
        <f>F228*AP228</f>
        <v>0</v>
      </c>
      <c r="BJ228" s="51">
        <f>F228*G228</f>
        <v>0</v>
      </c>
      <c r="BK228" s="53" t="s">
        <v>118</v>
      </c>
      <c r="BL228" s="51">
        <v>777</v>
      </c>
      <c r="BW228" s="51">
        <v>12</v>
      </c>
      <c r="BX228" s="3" t="s">
        <v>624</v>
      </c>
    </row>
    <row r="229" spans="1:76">
      <c r="A229" s="1" t="s">
        <v>625</v>
      </c>
      <c r="B229" s="2" t="s">
        <v>626</v>
      </c>
      <c r="C229" s="75" t="s">
        <v>627</v>
      </c>
      <c r="D229" s="70"/>
      <c r="E229" s="2" t="s">
        <v>285</v>
      </c>
      <c r="F229" s="51">
        <v>0.107</v>
      </c>
      <c r="G229" s="52">
        <v>0</v>
      </c>
      <c r="H229" s="51">
        <f>ROUND(F229*G229,2)</f>
        <v>0</v>
      </c>
      <c r="J229" s="41"/>
      <c r="Z229" s="51">
        <f>ROUND(IF(AQ229="5",BJ229,0),2)</f>
        <v>0</v>
      </c>
      <c r="AB229" s="51">
        <f>ROUND(IF(AQ229="1",BH229,0),2)</f>
        <v>0</v>
      </c>
      <c r="AC229" s="51">
        <f>ROUND(IF(AQ229="1",BI229,0),2)</f>
        <v>0</v>
      </c>
      <c r="AD229" s="51">
        <f>ROUND(IF(AQ229="7",BH229,0),2)</f>
        <v>0</v>
      </c>
      <c r="AE229" s="51">
        <f>ROUND(IF(AQ229="7",BI229,0),2)</f>
        <v>0</v>
      </c>
      <c r="AF229" s="51">
        <f>ROUND(IF(AQ229="2",BH229,0),2)</f>
        <v>0</v>
      </c>
      <c r="AG229" s="51">
        <f>ROUND(IF(AQ229="2",BI229,0),2)</f>
        <v>0</v>
      </c>
      <c r="AH229" s="51">
        <f>ROUND(IF(AQ229="0",BJ229,0),2)</f>
        <v>0</v>
      </c>
      <c r="AI229" s="35" t="s">
        <v>4</v>
      </c>
      <c r="AJ229" s="51">
        <f>IF(AN229=0,H229,0)</f>
        <v>0</v>
      </c>
      <c r="AK229" s="51">
        <f>IF(AN229=12,H229,0)</f>
        <v>0</v>
      </c>
      <c r="AL229" s="51">
        <f>IF(AN229=21,H229,0)</f>
        <v>0</v>
      </c>
      <c r="AN229" s="51">
        <v>12</v>
      </c>
      <c r="AO229" s="51">
        <f>G229*0</f>
        <v>0</v>
      </c>
      <c r="AP229" s="51">
        <f>G229*(1-0)</f>
        <v>0</v>
      </c>
      <c r="AQ229" s="53" t="s">
        <v>139</v>
      </c>
      <c r="AV229" s="51">
        <f>ROUND(AW229+AX229,2)</f>
        <v>0</v>
      </c>
      <c r="AW229" s="51">
        <f>ROUND(F229*AO229,2)</f>
        <v>0</v>
      </c>
      <c r="AX229" s="51">
        <f>ROUND(F229*AP229,2)</f>
        <v>0</v>
      </c>
      <c r="AY229" s="53" t="s">
        <v>621</v>
      </c>
      <c r="AZ229" s="53" t="s">
        <v>549</v>
      </c>
      <c r="BA229" s="35" t="s">
        <v>117</v>
      </c>
      <c r="BC229" s="51">
        <f>AW229+AX229</f>
        <v>0</v>
      </c>
      <c r="BD229" s="51">
        <f>G229/(100-BE229)*100</f>
        <v>0</v>
      </c>
      <c r="BE229" s="51">
        <v>0</v>
      </c>
      <c r="BF229" s="51">
        <f>229</f>
        <v>229</v>
      </c>
      <c r="BH229" s="51">
        <f>F229*AO229</f>
        <v>0</v>
      </c>
      <c r="BI229" s="51">
        <f>F229*AP229</f>
        <v>0</v>
      </c>
      <c r="BJ229" s="51">
        <f>F229*G229</f>
        <v>0</v>
      </c>
      <c r="BK229" s="53" t="s">
        <v>118</v>
      </c>
      <c r="BL229" s="51">
        <v>777</v>
      </c>
      <c r="BW229" s="51">
        <v>12</v>
      </c>
      <c r="BX229" s="3" t="s">
        <v>627</v>
      </c>
    </row>
    <row r="230" spans="1:76">
      <c r="A230" s="47" t="s">
        <v>4</v>
      </c>
      <c r="B230" s="48" t="s">
        <v>628</v>
      </c>
      <c r="C230" s="150" t="s">
        <v>629</v>
      </c>
      <c r="D230" s="151"/>
      <c r="E230" s="49" t="s">
        <v>79</v>
      </c>
      <c r="F230" s="49" t="s">
        <v>79</v>
      </c>
      <c r="G230" s="50" t="s">
        <v>79</v>
      </c>
      <c r="H230" s="28">
        <f>SUM(H231:H245)</f>
        <v>0</v>
      </c>
      <c r="J230" s="41"/>
      <c r="AI230" s="35" t="s">
        <v>4</v>
      </c>
      <c r="AS230" s="28">
        <f>SUM(AJ231:AJ245)</f>
        <v>0</v>
      </c>
      <c r="AT230" s="28">
        <f>SUM(AK231:AK245)</f>
        <v>0</v>
      </c>
      <c r="AU230" s="28">
        <f>SUM(AL231:AL245)</f>
        <v>0</v>
      </c>
    </row>
    <row r="231" spans="1:76">
      <c r="A231" s="1" t="s">
        <v>630</v>
      </c>
      <c r="B231" s="2" t="s">
        <v>631</v>
      </c>
      <c r="C231" s="75" t="s">
        <v>632</v>
      </c>
      <c r="D231" s="70"/>
      <c r="E231" s="2" t="s">
        <v>124</v>
      </c>
      <c r="F231" s="51">
        <v>21.007000000000001</v>
      </c>
      <c r="G231" s="52">
        <v>0</v>
      </c>
      <c r="H231" s="51">
        <f>ROUND(F231*G231,2)</f>
        <v>0</v>
      </c>
      <c r="J231" s="41"/>
      <c r="Z231" s="51">
        <f>ROUND(IF(AQ231="5",BJ231,0),2)</f>
        <v>0</v>
      </c>
      <c r="AB231" s="51">
        <f>ROUND(IF(AQ231="1",BH231,0),2)</f>
        <v>0</v>
      </c>
      <c r="AC231" s="51">
        <f>ROUND(IF(AQ231="1",BI231,0),2)</f>
        <v>0</v>
      </c>
      <c r="AD231" s="51">
        <f>ROUND(IF(AQ231="7",BH231,0),2)</f>
        <v>0</v>
      </c>
      <c r="AE231" s="51">
        <f>ROUND(IF(AQ231="7",BI231,0),2)</f>
        <v>0</v>
      </c>
      <c r="AF231" s="51">
        <f>ROUND(IF(AQ231="2",BH231,0),2)</f>
        <v>0</v>
      </c>
      <c r="AG231" s="51">
        <f>ROUND(IF(AQ231="2",BI231,0),2)</f>
        <v>0</v>
      </c>
      <c r="AH231" s="51">
        <f>ROUND(IF(AQ231="0",BJ231,0),2)</f>
        <v>0</v>
      </c>
      <c r="AI231" s="35" t="s">
        <v>4</v>
      </c>
      <c r="AJ231" s="51">
        <f>IF(AN231=0,H231,0)</f>
        <v>0</v>
      </c>
      <c r="AK231" s="51">
        <f>IF(AN231=12,H231,0)</f>
        <v>0</v>
      </c>
      <c r="AL231" s="51">
        <f>IF(AN231=21,H231,0)</f>
        <v>0</v>
      </c>
      <c r="AN231" s="51">
        <v>12</v>
      </c>
      <c r="AO231" s="51">
        <f>G231*0.152337473</f>
        <v>0</v>
      </c>
      <c r="AP231" s="51">
        <f>G231*(1-0.152337473)</f>
        <v>0</v>
      </c>
      <c r="AQ231" s="53" t="s">
        <v>149</v>
      </c>
      <c r="AV231" s="51">
        <f>ROUND(AW231+AX231,2)</f>
        <v>0</v>
      </c>
      <c r="AW231" s="51">
        <f>ROUND(F231*AO231,2)</f>
        <v>0</v>
      </c>
      <c r="AX231" s="51">
        <f>ROUND(F231*AP231,2)</f>
        <v>0</v>
      </c>
      <c r="AY231" s="53" t="s">
        <v>633</v>
      </c>
      <c r="AZ231" s="53" t="s">
        <v>634</v>
      </c>
      <c r="BA231" s="35" t="s">
        <v>117</v>
      </c>
      <c r="BC231" s="51">
        <f>AW231+AX231</f>
        <v>0</v>
      </c>
      <c r="BD231" s="51">
        <f>G231/(100-BE231)*100</f>
        <v>0</v>
      </c>
      <c r="BE231" s="51">
        <v>0</v>
      </c>
      <c r="BF231" s="51">
        <f>231</f>
        <v>231</v>
      </c>
      <c r="BH231" s="51">
        <f>F231*AO231</f>
        <v>0</v>
      </c>
      <c r="BI231" s="51">
        <f>F231*AP231</f>
        <v>0</v>
      </c>
      <c r="BJ231" s="51">
        <f>F231*G231</f>
        <v>0</v>
      </c>
      <c r="BK231" s="53" t="s">
        <v>118</v>
      </c>
      <c r="BL231" s="51">
        <v>781</v>
      </c>
      <c r="BW231" s="51">
        <v>12</v>
      </c>
      <c r="BX231" s="3" t="s">
        <v>632</v>
      </c>
    </row>
    <row r="232" spans="1:76">
      <c r="A232" s="54"/>
      <c r="C232" s="56" t="s">
        <v>635</v>
      </c>
      <c r="D232" s="57" t="s">
        <v>177</v>
      </c>
      <c r="F232" s="58">
        <v>18.286999999999999</v>
      </c>
      <c r="J232" s="41"/>
    </row>
    <row r="233" spans="1:76">
      <c r="A233" s="54"/>
      <c r="C233" s="56" t="s">
        <v>636</v>
      </c>
      <c r="D233" s="57" t="s">
        <v>568</v>
      </c>
      <c r="F233" s="58">
        <v>2.04</v>
      </c>
      <c r="J233" s="41"/>
    </row>
    <row r="234" spans="1:76">
      <c r="A234" s="54"/>
      <c r="C234" s="56" t="s">
        <v>637</v>
      </c>
      <c r="D234" s="57" t="s">
        <v>4</v>
      </c>
      <c r="F234" s="58">
        <v>0.68</v>
      </c>
      <c r="J234" s="41"/>
    </row>
    <row r="235" spans="1:76">
      <c r="A235" s="1" t="s">
        <v>638</v>
      </c>
      <c r="B235" s="2" t="s">
        <v>639</v>
      </c>
      <c r="C235" s="75" t="s">
        <v>640</v>
      </c>
      <c r="D235" s="70"/>
      <c r="E235" s="2" t="s">
        <v>124</v>
      </c>
      <c r="F235" s="51">
        <v>2.72</v>
      </c>
      <c r="G235" s="52">
        <v>0</v>
      </c>
      <c r="H235" s="51">
        <f>ROUND(F235*G235,2)</f>
        <v>0</v>
      </c>
      <c r="J235" s="41"/>
      <c r="Z235" s="51">
        <f>ROUND(IF(AQ235="5",BJ235,0),2)</f>
        <v>0</v>
      </c>
      <c r="AB235" s="51">
        <f>ROUND(IF(AQ235="1",BH235,0),2)</f>
        <v>0</v>
      </c>
      <c r="AC235" s="51">
        <f>ROUND(IF(AQ235="1",BI235,0),2)</f>
        <v>0</v>
      </c>
      <c r="AD235" s="51">
        <f>ROUND(IF(AQ235="7",BH235,0),2)</f>
        <v>0</v>
      </c>
      <c r="AE235" s="51">
        <f>ROUND(IF(AQ235="7",BI235,0),2)</f>
        <v>0</v>
      </c>
      <c r="AF235" s="51">
        <f>ROUND(IF(AQ235="2",BH235,0),2)</f>
        <v>0</v>
      </c>
      <c r="AG235" s="51">
        <f>ROUND(IF(AQ235="2",BI235,0),2)</f>
        <v>0</v>
      </c>
      <c r="AH235" s="51">
        <f>ROUND(IF(AQ235="0",BJ235,0),2)</f>
        <v>0</v>
      </c>
      <c r="AI235" s="35" t="s">
        <v>4</v>
      </c>
      <c r="AJ235" s="51">
        <f>IF(AN235=0,H235,0)</f>
        <v>0</v>
      </c>
      <c r="AK235" s="51">
        <f>IF(AN235=12,H235,0)</f>
        <v>0</v>
      </c>
      <c r="AL235" s="51">
        <f>IF(AN235=21,H235,0)</f>
        <v>0</v>
      </c>
      <c r="AN235" s="51">
        <v>12</v>
      </c>
      <c r="AO235" s="51">
        <f>G235*0</f>
        <v>0</v>
      </c>
      <c r="AP235" s="51">
        <f>G235*(1-0)</f>
        <v>0</v>
      </c>
      <c r="AQ235" s="53" t="s">
        <v>149</v>
      </c>
      <c r="AV235" s="51">
        <f>ROUND(AW235+AX235,2)</f>
        <v>0</v>
      </c>
      <c r="AW235" s="51">
        <f>ROUND(F235*AO235,2)</f>
        <v>0</v>
      </c>
      <c r="AX235" s="51">
        <f>ROUND(F235*AP235,2)</f>
        <v>0</v>
      </c>
      <c r="AY235" s="53" t="s">
        <v>633</v>
      </c>
      <c r="AZ235" s="53" t="s">
        <v>634</v>
      </c>
      <c r="BA235" s="35" t="s">
        <v>117</v>
      </c>
      <c r="BC235" s="51">
        <f>AW235+AX235</f>
        <v>0</v>
      </c>
      <c r="BD235" s="51">
        <f>G235/(100-BE235)*100</f>
        <v>0</v>
      </c>
      <c r="BE235" s="51">
        <v>0</v>
      </c>
      <c r="BF235" s="51">
        <f>235</f>
        <v>235</v>
      </c>
      <c r="BH235" s="51">
        <f>F235*AO235</f>
        <v>0</v>
      </c>
      <c r="BI235" s="51">
        <f>F235*AP235</f>
        <v>0</v>
      </c>
      <c r="BJ235" s="51">
        <f>F235*G235</f>
        <v>0</v>
      </c>
      <c r="BK235" s="53" t="s">
        <v>118</v>
      </c>
      <c r="BL235" s="51">
        <v>781</v>
      </c>
      <c r="BW235" s="51">
        <v>12</v>
      </c>
      <c r="BX235" s="3" t="s">
        <v>640</v>
      </c>
    </row>
    <row r="236" spans="1:76">
      <c r="A236" s="1" t="s">
        <v>641</v>
      </c>
      <c r="B236" s="2" t="s">
        <v>642</v>
      </c>
      <c r="C236" s="75" t="s">
        <v>643</v>
      </c>
      <c r="D236" s="70"/>
      <c r="E236" s="2" t="s">
        <v>146</v>
      </c>
      <c r="F236" s="51">
        <v>8.4</v>
      </c>
      <c r="G236" s="52">
        <v>0</v>
      </c>
      <c r="H236" s="51">
        <f>ROUND(F236*G236,2)</f>
        <v>0</v>
      </c>
      <c r="J236" s="41"/>
      <c r="Z236" s="51">
        <f>ROUND(IF(AQ236="5",BJ236,0),2)</f>
        <v>0</v>
      </c>
      <c r="AB236" s="51">
        <f>ROUND(IF(AQ236="1",BH236,0),2)</f>
        <v>0</v>
      </c>
      <c r="AC236" s="51">
        <f>ROUND(IF(AQ236="1",BI236,0),2)</f>
        <v>0</v>
      </c>
      <c r="AD236" s="51">
        <f>ROUND(IF(AQ236="7",BH236,0),2)</f>
        <v>0</v>
      </c>
      <c r="AE236" s="51">
        <f>ROUND(IF(AQ236="7",BI236,0),2)</f>
        <v>0</v>
      </c>
      <c r="AF236" s="51">
        <f>ROUND(IF(AQ236="2",BH236,0),2)</f>
        <v>0</v>
      </c>
      <c r="AG236" s="51">
        <f>ROUND(IF(AQ236="2",BI236,0),2)</f>
        <v>0</v>
      </c>
      <c r="AH236" s="51">
        <f>ROUND(IF(AQ236="0",BJ236,0),2)</f>
        <v>0</v>
      </c>
      <c r="AI236" s="35" t="s">
        <v>4</v>
      </c>
      <c r="AJ236" s="51">
        <f>IF(AN236=0,H236,0)</f>
        <v>0</v>
      </c>
      <c r="AK236" s="51">
        <f>IF(AN236=12,H236,0)</f>
        <v>0</v>
      </c>
      <c r="AL236" s="51">
        <f>IF(AN236=21,H236,0)</f>
        <v>0</v>
      </c>
      <c r="AN236" s="51">
        <v>12</v>
      </c>
      <c r="AO236" s="51">
        <f>G236*0.04421832</f>
        <v>0</v>
      </c>
      <c r="AP236" s="51">
        <f>G236*(1-0.04421832)</f>
        <v>0</v>
      </c>
      <c r="AQ236" s="53" t="s">
        <v>149</v>
      </c>
      <c r="AV236" s="51">
        <f>ROUND(AW236+AX236,2)</f>
        <v>0</v>
      </c>
      <c r="AW236" s="51">
        <f>ROUND(F236*AO236,2)</f>
        <v>0</v>
      </c>
      <c r="AX236" s="51">
        <f>ROUND(F236*AP236,2)</f>
        <v>0</v>
      </c>
      <c r="AY236" s="53" t="s">
        <v>633</v>
      </c>
      <c r="AZ236" s="53" t="s">
        <v>634</v>
      </c>
      <c r="BA236" s="35" t="s">
        <v>117</v>
      </c>
      <c r="BC236" s="51">
        <f>AW236+AX236</f>
        <v>0</v>
      </c>
      <c r="BD236" s="51">
        <f>G236/(100-BE236)*100</f>
        <v>0</v>
      </c>
      <c r="BE236" s="51">
        <v>0</v>
      </c>
      <c r="BF236" s="51">
        <f>236</f>
        <v>236</v>
      </c>
      <c r="BH236" s="51">
        <f>F236*AO236</f>
        <v>0</v>
      </c>
      <c r="BI236" s="51">
        <f>F236*AP236</f>
        <v>0</v>
      </c>
      <c r="BJ236" s="51">
        <f>F236*G236</f>
        <v>0</v>
      </c>
      <c r="BK236" s="53" t="s">
        <v>118</v>
      </c>
      <c r="BL236" s="51">
        <v>781</v>
      </c>
      <c r="BW236" s="51">
        <v>12</v>
      </c>
      <c r="BX236" s="3" t="s">
        <v>643</v>
      </c>
    </row>
    <row r="237" spans="1:76">
      <c r="A237" s="54"/>
      <c r="C237" s="56" t="s">
        <v>644</v>
      </c>
      <c r="D237" s="57" t="s">
        <v>4</v>
      </c>
      <c r="F237" s="58">
        <v>8.4</v>
      </c>
      <c r="J237" s="41"/>
    </row>
    <row r="238" spans="1:76">
      <c r="A238" s="1" t="s">
        <v>645</v>
      </c>
      <c r="B238" s="2" t="s">
        <v>646</v>
      </c>
      <c r="C238" s="75" t="s">
        <v>647</v>
      </c>
      <c r="D238" s="70"/>
      <c r="E238" s="2" t="s">
        <v>114</v>
      </c>
      <c r="F238" s="51">
        <v>7</v>
      </c>
      <c r="G238" s="52">
        <v>0</v>
      </c>
      <c r="H238" s="51">
        <f>ROUND(F238*G238,2)</f>
        <v>0</v>
      </c>
      <c r="J238" s="41"/>
      <c r="Z238" s="51">
        <f>ROUND(IF(AQ238="5",BJ238,0),2)</f>
        <v>0</v>
      </c>
      <c r="AB238" s="51">
        <f>ROUND(IF(AQ238="1",BH238,0),2)</f>
        <v>0</v>
      </c>
      <c r="AC238" s="51">
        <f>ROUND(IF(AQ238="1",BI238,0),2)</f>
        <v>0</v>
      </c>
      <c r="AD238" s="51">
        <f>ROUND(IF(AQ238="7",BH238,0),2)</f>
        <v>0</v>
      </c>
      <c r="AE238" s="51">
        <f>ROUND(IF(AQ238="7",BI238,0),2)</f>
        <v>0</v>
      </c>
      <c r="AF238" s="51">
        <f>ROUND(IF(AQ238="2",BH238,0),2)</f>
        <v>0</v>
      </c>
      <c r="AG238" s="51">
        <f>ROUND(IF(AQ238="2",BI238,0),2)</f>
        <v>0</v>
      </c>
      <c r="AH238" s="51">
        <f>ROUND(IF(AQ238="0",BJ238,0),2)</f>
        <v>0</v>
      </c>
      <c r="AI238" s="35" t="s">
        <v>4</v>
      </c>
      <c r="AJ238" s="51">
        <f>IF(AN238=0,H238,0)</f>
        <v>0</v>
      </c>
      <c r="AK238" s="51">
        <f>IF(AN238=12,H238,0)</f>
        <v>0</v>
      </c>
      <c r="AL238" s="51">
        <f>IF(AN238=21,H238,0)</f>
        <v>0</v>
      </c>
      <c r="AN238" s="51">
        <v>12</v>
      </c>
      <c r="AO238" s="51">
        <f>G238*0.051656442</f>
        <v>0</v>
      </c>
      <c r="AP238" s="51">
        <f>G238*(1-0.051656442)</f>
        <v>0</v>
      </c>
      <c r="AQ238" s="53" t="s">
        <v>149</v>
      </c>
      <c r="AV238" s="51">
        <f>ROUND(AW238+AX238,2)</f>
        <v>0</v>
      </c>
      <c r="AW238" s="51">
        <f>ROUND(F238*AO238,2)</f>
        <v>0</v>
      </c>
      <c r="AX238" s="51">
        <f>ROUND(F238*AP238,2)</f>
        <v>0</v>
      </c>
      <c r="AY238" s="53" t="s">
        <v>633</v>
      </c>
      <c r="AZ238" s="53" t="s">
        <v>634</v>
      </c>
      <c r="BA238" s="35" t="s">
        <v>117</v>
      </c>
      <c r="BC238" s="51">
        <f>AW238+AX238</f>
        <v>0</v>
      </c>
      <c r="BD238" s="51">
        <f>G238/(100-BE238)*100</f>
        <v>0</v>
      </c>
      <c r="BE238" s="51">
        <v>0</v>
      </c>
      <c r="BF238" s="51">
        <f>238</f>
        <v>238</v>
      </c>
      <c r="BH238" s="51">
        <f>F238*AO238</f>
        <v>0</v>
      </c>
      <c r="BI238" s="51">
        <f>F238*AP238</f>
        <v>0</v>
      </c>
      <c r="BJ238" s="51">
        <f>F238*G238</f>
        <v>0</v>
      </c>
      <c r="BK238" s="53" t="s">
        <v>118</v>
      </c>
      <c r="BL238" s="51">
        <v>781</v>
      </c>
      <c r="BW238" s="51">
        <v>12</v>
      </c>
      <c r="BX238" s="3" t="s">
        <v>647</v>
      </c>
    </row>
    <row r="239" spans="1:76">
      <c r="A239" s="1" t="s">
        <v>648</v>
      </c>
      <c r="B239" s="2" t="s">
        <v>649</v>
      </c>
      <c r="C239" s="75" t="s">
        <v>650</v>
      </c>
      <c r="D239" s="70"/>
      <c r="E239" s="2" t="s">
        <v>146</v>
      </c>
      <c r="F239" s="51">
        <v>4.95</v>
      </c>
      <c r="G239" s="52">
        <v>0</v>
      </c>
      <c r="H239" s="51">
        <f>ROUND(F239*G239,2)</f>
        <v>0</v>
      </c>
      <c r="J239" s="41"/>
      <c r="Z239" s="51">
        <f>ROUND(IF(AQ239="5",BJ239,0),2)</f>
        <v>0</v>
      </c>
      <c r="AB239" s="51">
        <f>ROUND(IF(AQ239="1",BH239,0),2)</f>
        <v>0</v>
      </c>
      <c r="AC239" s="51">
        <f>ROUND(IF(AQ239="1",BI239,0),2)</f>
        <v>0</v>
      </c>
      <c r="AD239" s="51">
        <f>ROUND(IF(AQ239="7",BH239,0),2)</f>
        <v>0</v>
      </c>
      <c r="AE239" s="51">
        <f>ROUND(IF(AQ239="7",BI239,0),2)</f>
        <v>0</v>
      </c>
      <c r="AF239" s="51">
        <f>ROUND(IF(AQ239="2",BH239,0),2)</f>
        <v>0</v>
      </c>
      <c r="AG239" s="51">
        <f>ROUND(IF(AQ239="2",BI239,0),2)</f>
        <v>0</v>
      </c>
      <c r="AH239" s="51">
        <f>ROUND(IF(AQ239="0",BJ239,0),2)</f>
        <v>0</v>
      </c>
      <c r="AI239" s="35" t="s">
        <v>4</v>
      </c>
      <c r="AJ239" s="51">
        <f>IF(AN239=0,H239,0)</f>
        <v>0</v>
      </c>
      <c r="AK239" s="51">
        <f>IF(AN239=12,H239,0)</f>
        <v>0</v>
      </c>
      <c r="AL239" s="51">
        <f>IF(AN239=21,H239,0)</f>
        <v>0</v>
      </c>
      <c r="AN239" s="51">
        <v>12</v>
      </c>
      <c r="AO239" s="51">
        <f>G239*0.874423436</f>
        <v>0</v>
      </c>
      <c r="AP239" s="51">
        <f>G239*(1-0.874423436)</f>
        <v>0</v>
      </c>
      <c r="AQ239" s="53" t="s">
        <v>149</v>
      </c>
      <c r="AV239" s="51">
        <f>ROUND(AW239+AX239,2)</f>
        <v>0</v>
      </c>
      <c r="AW239" s="51">
        <f>ROUND(F239*AO239,2)</f>
        <v>0</v>
      </c>
      <c r="AX239" s="51">
        <f>ROUND(F239*AP239,2)</f>
        <v>0</v>
      </c>
      <c r="AY239" s="53" t="s">
        <v>633</v>
      </c>
      <c r="AZ239" s="53" t="s">
        <v>634</v>
      </c>
      <c r="BA239" s="35" t="s">
        <v>117</v>
      </c>
      <c r="BC239" s="51">
        <f>AW239+AX239</f>
        <v>0</v>
      </c>
      <c r="BD239" s="51">
        <f>G239/(100-BE239)*100</f>
        <v>0</v>
      </c>
      <c r="BE239" s="51">
        <v>0</v>
      </c>
      <c r="BF239" s="51">
        <f>239</f>
        <v>239</v>
      </c>
      <c r="BH239" s="51">
        <f>F239*AO239</f>
        <v>0</v>
      </c>
      <c r="BI239" s="51">
        <f>F239*AP239</f>
        <v>0</v>
      </c>
      <c r="BJ239" s="51">
        <f>F239*G239</f>
        <v>0</v>
      </c>
      <c r="BK239" s="53" t="s">
        <v>118</v>
      </c>
      <c r="BL239" s="51">
        <v>781</v>
      </c>
      <c r="BW239" s="51">
        <v>12</v>
      </c>
      <c r="BX239" s="3" t="s">
        <v>650</v>
      </c>
    </row>
    <row r="240" spans="1:76" ht="13.5" customHeight="1">
      <c r="A240" s="54"/>
      <c r="B240" s="55" t="s">
        <v>119</v>
      </c>
      <c r="C240" s="152" t="s">
        <v>651</v>
      </c>
      <c r="D240" s="153"/>
      <c r="E240" s="153"/>
      <c r="F240" s="153"/>
      <c r="G240" s="154"/>
      <c r="H240" s="153"/>
      <c r="I240" s="153"/>
      <c r="J240" s="155"/>
    </row>
    <row r="241" spans="1:76">
      <c r="A241" s="54"/>
      <c r="C241" s="56" t="s">
        <v>339</v>
      </c>
      <c r="D241" s="57" t="s">
        <v>566</v>
      </c>
      <c r="F241" s="58">
        <v>2.1</v>
      </c>
      <c r="J241" s="41"/>
    </row>
    <row r="242" spans="1:76">
      <c r="A242" s="54"/>
      <c r="C242" s="56" t="s">
        <v>652</v>
      </c>
      <c r="D242" s="57" t="s">
        <v>653</v>
      </c>
      <c r="F242" s="58">
        <v>2.85</v>
      </c>
      <c r="J242" s="41"/>
    </row>
    <row r="243" spans="1:76">
      <c r="A243" s="1" t="s">
        <v>654</v>
      </c>
      <c r="B243" s="2" t="s">
        <v>655</v>
      </c>
      <c r="C243" s="75" t="s">
        <v>656</v>
      </c>
      <c r="D243" s="70"/>
      <c r="E243" s="2" t="s">
        <v>124</v>
      </c>
      <c r="F243" s="51">
        <v>23.108000000000001</v>
      </c>
      <c r="G243" s="52">
        <v>0</v>
      </c>
      <c r="H243" s="51">
        <f>ROUND(F243*G243,2)</f>
        <v>0</v>
      </c>
      <c r="J243" s="41"/>
      <c r="Z243" s="51">
        <f>ROUND(IF(AQ243="5",BJ243,0),2)</f>
        <v>0</v>
      </c>
      <c r="AB243" s="51">
        <f>ROUND(IF(AQ243="1",BH243,0),2)</f>
        <v>0</v>
      </c>
      <c r="AC243" s="51">
        <f>ROUND(IF(AQ243="1",BI243,0),2)</f>
        <v>0</v>
      </c>
      <c r="AD243" s="51">
        <f>ROUND(IF(AQ243="7",BH243,0),2)</f>
        <v>0</v>
      </c>
      <c r="AE243" s="51">
        <f>ROUND(IF(AQ243="7",BI243,0),2)</f>
        <v>0</v>
      </c>
      <c r="AF243" s="51">
        <f>ROUND(IF(AQ243="2",BH243,0),2)</f>
        <v>0</v>
      </c>
      <c r="AG243" s="51">
        <f>ROUND(IF(AQ243="2",BI243,0),2)</f>
        <v>0</v>
      </c>
      <c r="AH243" s="51">
        <f>ROUND(IF(AQ243="0",BJ243,0),2)</f>
        <v>0</v>
      </c>
      <c r="AI243" s="35" t="s">
        <v>4</v>
      </c>
      <c r="AJ243" s="51">
        <f>IF(AN243=0,H243,0)</f>
        <v>0</v>
      </c>
      <c r="AK243" s="51">
        <f>IF(AN243=12,H243,0)</f>
        <v>0</v>
      </c>
      <c r="AL243" s="51">
        <f>IF(AN243=21,H243,0)</f>
        <v>0</v>
      </c>
      <c r="AN243" s="51">
        <v>12</v>
      </c>
      <c r="AO243" s="51">
        <f>G243*1</f>
        <v>0</v>
      </c>
      <c r="AP243" s="51">
        <f>G243*(1-1)</f>
        <v>0</v>
      </c>
      <c r="AQ243" s="53" t="s">
        <v>149</v>
      </c>
      <c r="AV243" s="51">
        <f>ROUND(AW243+AX243,2)</f>
        <v>0</v>
      </c>
      <c r="AW243" s="51">
        <f>ROUND(F243*AO243,2)</f>
        <v>0</v>
      </c>
      <c r="AX243" s="51">
        <f>ROUND(F243*AP243,2)</f>
        <v>0</v>
      </c>
      <c r="AY243" s="53" t="s">
        <v>633</v>
      </c>
      <c r="AZ243" s="53" t="s">
        <v>634</v>
      </c>
      <c r="BA243" s="35" t="s">
        <v>117</v>
      </c>
      <c r="BC243" s="51">
        <f>AW243+AX243</f>
        <v>0</v>
      </c>
      <c r="BD243" s="51">
        <f>G243/(100-BE243)*100</f>
        <v>0</v>
      </c>
      <c r="BE243" s="51">
        <v>0</v>
      </c>
      <c r="BF243" s="51">
        <f>243</f>
        <v>243</v>
      </c>
      <c r="BH243" s="51">
        <f>F243*AO243</f>
        <v>0</v>
      </c>
      <c r="BI243" s="51">
        <f>F243*AP243</f>
        <v>0</v>
      </c>
      <c r="BJ243" s="51">
        <f>F243*G243</f>
        <v>0</v>
      </c>
      <c r="BK243" s="53" t="s">
        <v>257</v>
      </c>
      <c r="BL243" s="51">
        <v>781</v>
      </c>
      <c r="BW243" s="51">
        <v>12</v>
      </c>
      <c r="BX243" s="3" t="s">
        <v>656</v>
      </c>
    </row>
    <row r="244" spans="1:76">
      <c r="A244" s="54"/>
      <c r="C244" s="56" t="s">
        <v>657</v>
      </c>
      <c r="D244" s="57" t="s">
        <v>4</v>
      </c>
      <c r="F244" s="58">
        <v>23.108000000000001</v>
      </c>
      <c r="J244" s="41"/>
    </row>
    <row r="245" spans="1:76">
      <c r="A245" s="1" t="s">
        <v>658</v>
      </c>
      <c r="B245" s="2" t="s">
        <v>659</v>
      </c>
      <c r="C245" s="75" t="s">
        <v>660</v>
      </c>
      <c r="D245" s="70"/>
      <c r="E245" s="2" t="s">
        <v>285</v>
      </c>
      <c r="F245" s="51">
        <v>0.38800000000000001</v>
      </c>
      <c r="G245" s="52">
        <v>0</v>
      </c>
      <c r="H245" s="51">
        <f>ROUND(F245*G245,2)</f>
        <v>0</v>
      </c>
      <c r="J245" s="41"/>
      <c r="Z245" s="51">
        <f>ROUND(IF(AQ245="5",BJ245,0),2)</f>
        <v>0</v>
      </c>
      <c r="AB245" s="51">
        <f>ROUND(IF(AQ245="1",BH245,0),2)</f>
        <v>0</v>
      </c>
      <c r="AC245" s="51">
        <f>ROUND(IF(AQ245="1",BI245,0),2)</f>
        <v>0</v>
      </c>
      <c r="AD245" s="51">
        <f>ROUND(IF(AQ245="7",BH245,0),2)</f>
        <v>0</v>
      </c>
      <c r="AE245" s="51">
        <f>ROUND(IF(AQ245="7",BI245,0),2)</f>
        <v>0</v>
      </c>
      <c r="AF245" s="51">
        <f>ROUND(IF(AQ245="2",BH245,0),2)</f>
        <v>0</v>
      </c>
      <c r="AG245" s="51">
        <f>ROUND(IF(AQ245="2",BI245,0),2)</f>
        <v>0</v>
      </c>
      <c r="AH245" s="51">
        <f>ROUND(IF(AQ245="0",BJ245,0),2)</f>
        <v>0</v>
      </c>
      <c r="AI245" s="35" t="s">
        <v>4</v>
      </c>
      <c r="AJ245" s="51">
        <f>IF(AN245=0,H245,0)</f>
        <v>0</v>
      </c>
      <c r="AK245" s="51">
        <f>IF(AN245=12,H245,0)</f>
        <v>0</v>
      </c>
      <c r="AL245" s="51">
        <f>IF(AN245=21,H245,0)</f>
        <v>0</v>
      </c>
      <c r="AN245" s="51">
        <v>12</v>
      </c>
      <c r="AO245" s="51">
        <f>G245*0</f>
        <v>0</v>
      </c>
      <c r="AP245" s="51">
        <f>G245*(1-0)</f>
        <v>0</v>
      </c>
      <c r="AQ245" s="53" t="s">
        <v>139</v>
      </c>
      <c r="AV245" s="51">
        <f>ROUND(AW245+AX245,2)</f>
        <v>0</v>
      </c>
      <c r="AW245" s="51">
        <f>ROUND(F245*AO245,2)</f>
        <v>0</v>
      </c>
      <c r="AX245" s="51">
        <f>ROUND(F245*AP245,2)</f>
        <v>0</v>
      </c>
      <c r="AY245" s="53" t="s">
        <v>633</v>
      </c>
      <c r="AZ245" s="53" t="s">
        <v>634</v>
      </c>
      <c r="BA245" s="35" t="s">
        <v>117</v>
      </c>
      <c r="BC245" s="51">
        <f>AW245+AX245</f>
        <v>0</v>
      </c>
      <c r="BD245" s="51">
        <f>G245/(100-BE245)*100</f>
        <v>0</v>
      </c>
      <c r="BE245" s="51">
        <v>0</v>
      </c>
      <c r="BF245" s="51">
        <f>245</f>
        <v>245</v>
      </c>
      <c r="BH245" s="51">
        <f>F245*AO245</f>
        <v>0</v>
      </c>
      <c r="BI245" s="51">
        <f>F245*AP245</f>
        <v>0</v>
      </c>
      <c r="BJ245" s="51">
        <f>F245*G245</f>
        <v>0</v>
      </c>
      <c r="BK245" s="53" t="s">
        <v>118</v>
      </c>
      <c r="BL245" s="51">
        <v>781</v>
      </c>
      <c r="BW245" s="51">
        <v>12</v>
      </c>
      <c r="BX245" s="3" t="s">
        <v>660</v>
      </c>
    </row>
    <row r="246" spans="1:76">
      <c r="A246" s="47" t="s">
        <v>4</v>
      </c>
      <c r="B246" s="48" t="s">
        <v>661</v>
      </c>
      <c r="C246" s="150" t="s">
        <v>662</v>
      </c>
      <c r="D246" s="151"/>
      <c r="E246" s="49" t="s">
        <v>79</v>
      </c>
      <c r="F246" s="49" t="s">
        <v>79</v>
      </c>
      <c r="G246" s="50" t="s">
        <v>79</v>
      </c>
      <c r="H246" s="28">
        <f>SUM(H247:H250)</f>
        <v>0</v>
      </c>
      <c r="J246" s="41"/>
      <c r="AI246" s="35" t="s">
        <v>4</v>
      </c>
      <c r="AS246" s="28">
        <f>SUM(AJ247:AJ250)</f>
        <v>0</v>
      </c>
      <c r="AT246" s="28">
        <f>SUM(AK247:AK250)</f>
        <v>0</v>
      </c>
      <c r="AU246" s="28">
        <f>SUM(AL247:AL250)</f>
        <v>0</v>
      </c>
    </row>
    <row r="247" spans="1:76">
      <c r="A247" s="1" t="s">
        <v>663</v>
      </c>
      <c r="B247" s="2" t="s">
        <v>664</v>
      </c>
      <c r="C247" s="75" t="s">
        <v>665</v>
      </c>
      <c r="D247" s="70"/>
      <c r="E247" s="2" t="s">
        <v>524</v>
      </c>
      <c r="F247" s="51">
        <v>3</v>
      </c>
      <c r="G247" s="52">
        <v>0</v>
      </c>
      <c r="H247" s="51">
        <f>ROUND(F247*G247,2)</f>
        <v>0</v>
      </c>
      <c r="J247" s="41"/>
      <c r="Z247" s="51">
        <f>ROUND(IF(AQ247="5",BJ247,0),2)</f>
        <v>0</v>
      </c>
      <c r="AB247" s="51">
        <f>ROUND(IF(AQ247="1",BH247,0),2)</f>
        <v>0</v>
      </c>
      <c r="AC247" s="51">
        <f>ROUND(IF(AQ247="1",BI247,0),2)</f>
        <v>0</v>
      </c>
      <c r="AD247" s="51">
        <f>ROUND(IF(AQ247="7",BH247,0),2)</f>
        <v>0</v>
      </c>
      <c r="AE247" s="51">
        <f>ROUND(IF(AQ247="7",BI247,0),2)</f>
        <v>0</v>
      </c>
      <c r="AF247" s="51">
        <f>ROUND(IF(AQ247="2",BH247,0),2)</f>
        <v>0</v>
      </c>
      <c r="AG247" s="51">
        <f>ROUND(IF(AQ247="2",BI247,0),2)</f>
        <v>0</v>
      </c>
      <c r="AH247" s="51">
        <f>ROUND(IF(AQ247="0",BJ247,0),2)</f>
        <v>0</v>
      </c>
      <c r="AI247" s="35" t="s">
        <v>4</v>
      </c>
      <c r="AJ247" s="51">
        <f>IF(AN247=0,H247,0)</f>
        <v>0</v>
      </c>
      <c r="AK247" s="51">
        <f>IF(AN247=12,H247,0)</f>
        <v>0</v>
      </c>
      <c r="AL247" s="51">
        <f>IF(AN247=21,H247,0)</f>
        <v>0</v>
      </c>
      <c r="AN247" s="51">
        <v>12</v>
      </c>
      <c r="AO247" s="51">
        <f>G247*0.194325</f>
        <v>0</v>
      </c>
      <c r="AP247" s="51">
        <f>G247*(1-0.194325)</f>
        <v>0</v>
      </c>
      <c r="AQ247" s="53" t="s">
        <v>149</v>
      </c>
      <c r="AV247" s="51">
        <f>ROUND(AW247+AX247,2)</f>
        <v>0</v>
      </c>
      <c r="AW247" s="51">
        <f>ROUND(F247*AO247,2)</f>
        <v>0</v>
      </c>
      <c r="AX247" s="51">
        <f>ROUND(F247*AP247,2)</f>
        <v>0</v>
      </c>
      <c r="AY247" s="53" t="s">
        <v>666</v>
      </c>
      <c r="AZ247" s="53" t="s">
        <v>634</v>
      </c>
      <c r="BA247" s="35" t="s">
        <v>117</v>
      </c>
      <c r="BC247" s="51">
        <f>AW247+AX247</f>
        <v>0</v>
      </c>
      <c r="BD247" s="51">
        <f>G247/(100-BE247)*100</f>
        <v>0</v>
      </c>
      <c r="BE247" s="51">
        <v>0</v>
      </c>
      <c r="BF247" s="51">
        <f>247</f>
        <v>247</v>
      </c>
      <c r="BH247" s="51">
        <f>F247*AO247</f>
        <v>0</v>
      </c>
      <c r="BI247" s="51">
        <f>F247*AP247</f>
        <v>0</v>
      </c>
      <c r="BJ247" s="51">
        <f>F247*G247</f>
        <v>0</v>
      </c>
      <c r="BK247" s="53" t="s">
        <v>118</v>
      </c>
      <c r="BL247" s="51">
        <v>783</v>
      </c>
      <c r="BW247" s="51">
        <v>12</v>
      </c>
      <c r="BX247" s="3" t="s">
        <v>665</v>
      </c>
    </row>
    <row r="248" spans="1:76" ht="13.5" customHeight="1">
      <c r="A248" s="54"/>
      <c r="B248" s="55" t="s">
        <v>119</v>
      </c>
      <c r="C248" s="152" t="s">
        <v>667</v>
      </c>
      <c r="D248" s="153"/>
      <c r="E248" s="153"/>
      <c r="F248" s="153"/>
      <c r="G248" s="154"/>
      <c r="H248" s="153"/>
      <c r="I248" s="153"/>
      <c r="J248" s="155"/>
    </row>
    <row r="249" spans="1:76">
      <c r="A249" s="1" t="s">
        <v>668</v>
      </c>
      <c r="B249" s="2" t="s">
        <v>669</v>
      </c>
      <c r="C249" s="75" t="s">
        <v>670</v>
      </c>
      <c r="D249" s="70"/>
      <c r="E249" s="2" t="s">
        <v>124</v>
      </c>
      <c r="F249" s="51">
        <v>6</v>
      </c>
      <c r="G249" s="52">
        <v>0</v>
      </c>
      <c r="H249" s="51">
        <f>ROUND(F249*G249,2)</f>
        <v>0</v>
      </c>
      <c r="J249" s="41"/>
      <c r="Z249" s="51">
        <f>ROUND(IF(AQ249="5",BJ249,0),2)</f>
        <v>0</v>
      </c>
      <c r="AB249" s="51">
        <f>ROUND(IF(AQ249="1",BH249,0),2)</f>
        <v>0</v>
      </c>
      <c r="AC249" s="51">
        <f>ROUND(IF(AQ249="1",BI249,0),2)</f>
        <v>0</v>
      </c>
      <c r="AD249" s="51">
        <f>ROUND(IF(AQ249="7",BH249,0),2)</f>
        <v>0</v>
      </c>
      <c r="AE249" s="51">
        <f>ROUND(IF(AQ249="7",BI249,0),2)</f>
        <v>0</v>
      </c>
      <c r="AF249" s="51">
        <f>ROUND(IF(AQ249="2",BH249,0),2)</f>
        <v>0</v>
      </c>
      <c r="AG249" s="51">
        <f>ROUND(IF(AQ249="2",BI249,0),2)</f>
        <v>0</v>
      </c>
      <c r="AH249" s="51">
        <f>ROUND(IF(AQ249="0",BJ249,0),2)</f>
        <v>0</v>
      </c>
      <c r="AI249" s="35" t="s">
        <v>4</v>
      </c>
      <c r="AJ249" s="51">
        <f>IF(AN249=0,H249,0)</f>
        <v>0</v>
      </c>
      <c r="AK249" s="51">
        <f>IF(AN249=12,H249,0)</f>
        <v>0</v>
      </c>
      <c r="AL249" s="51">
        <f>IF(AN249=21,H249,0)</f>
        <v>0</v>
      </c>
      <c r="AN249" s="51">
        <v>12</v>
      </c>
      <c r="AO249" s="51">
        <f>G249*0.032444444</f>
        <v>0</v>
      </c>
      <c r="AP249" s="51">
        <f>G249*(1-0.032444444)</f>
        <v>0</v>
      </c>
      <c r="AQ249" s="53" t="s">
        <v>149</v>
      </c>
      <c r="AV249" s="51">
        <f>ROUND(AW249+AX249,2)</f>
        <v>0</v>
      </c>
      <c r="AW249" s="51">
        <f>ROUND(F249*AO249,2)</f>
        <v>0</v>
      </c>
      <c r="AX249" s="51">
        <f>ROUND(F249*AP249,2)</f>
        <v>0</v>
      </c>
      <c r="AY249" s="53" t="s">
        <v>666</v>
      </c>
      <c r="AZ249" s="53" t="s">
        <v>634</v>
      </c>
      <c r="BA249" s="35" t="s">
        <v>117</v>
      </c>
      <c r="BC249" s="51">
        <f>AW249+AX249</f>
        <v>0</v>
      </c>
      <c r="BD249" s="51">
        <f>G249/(100-BE249)*100</f>
        <v>0</v>
      </c>
      <c r="BE249" s="51">
        <v>0</v>
      </c>
      <c r="BF249" s="51">
        <f>249</f>
        <v>249</v>
      </c>
      <c r="BH249" s="51">
        <f>F249*AO249</f>
        <v>0</v>
      </c>
      <c r="BI249" s="51">
        <f>F249*AP249</f>
        <v>0</v>
      </c>
      <c r="BJ249" s="51">
        <f>F249*G249</f>
        <v>0</v>
      </c>
      <c r="BK249" s="53" t="s">
        <v>118</v>
      </c>
      <c r="BL249" s="51">
        <v>783</v>
      </c>
      <c r="BW249" s="51">
        <v>12</v>
      </c>
      <c r="BX249" s="3" t="s">
        <v>670</v>
      </c>
    </row>
    <row r="250" spans="1:76">
      <c r="A250" s="1" t="s">
        <v>671</v>
      </c>
      <c r="B250" s="2" t="s">
        <v>672</v>
      </c>
      <c r="C250" s="75" t="s">
        <v>673</v>
      </c>
      <c r="D250" s="70"/>
      <c r="E250" s="2" t="s">
        <v>124</v>
      </c>
      <c r="F250" s="51">
        <v>6</v>
      </c>
      <c r="G250" s="52">
        <v>0</v>
      </c>
      <c r="H250" s="51">
        <f>ROUND(F250*G250,2)</f>
        <v>0</v>
      </c>
      <c r="J250" s="41"/>
      <c r="Z250" s="51">
        <f>ROUND(IF(AQ250="5",BJ250,0),2)</f>
        <v>0</v>
      </c>
      <c r="AB250" s="51">
        <f>ROUND(IF(AQ250="1",BH250,0),2)</f>
        <v>0</v>
      </c>
      <c r="AC250" s="51">
        <f>ROUND(IF(AQ250="1",BI250,0),2)</f>
        <v>0</v>
      </c>
      <c r="AD250" s="51">
        <f>ROUND(IF(AQ250="7",BH250,0),2)</f>
        <v>0</v>
      </c>
      <c r="AE250" s="51">
        <f>ROUND(IF(AQ250="7",BI250,0),2)</f>
        <v>0</v>
      </c>
      <c r="AF250" s="51">
        <f>ROUND(IF(AQ250="2",BH250,0),2)</f>
        <v>0</v>
      </c>
      <c r="AG250" s="51">
        <f>ROUND(IF(AQ250="2",BI250,0),2)</f>
        <v>0</v>
      </c>
      <c r="AH250" s="51">
        <f>ROUND(IF(AQ250="0",BJ250,0),2)</f>
        <v>0</v>
      </c>
      <c r="AI250" s="35" t="s">
        <v>4</v>
      </c>
      <c r="AJ250" s="51">
        <f>IF(AN250=0,H250,0)</f>
        <v>0</v>
      </c>
      <c r="AK250" s="51">
        <f>IF(AN250=12,H250,0)</f>
        <v>0</v>
      </c>
      <c r="AL250" s="51">
        <f>IF(AN250=21,H250,0)</f>
        <v>0</v>
      </c>
      <c r="AN250" s="51">
        <v>12</v>
      </c>
      <c r="AO250" s="51">
        <f>G250*0.383971119</f>
        <v>0</v>
      </c>
      <c r="AP250" s="51">
        <f>G250*(1-0.383971119)</f>
        <v>0</v>
      </c>
      <c r="AQ250" s="53" t="s">
        <v>149</v>
      </c>
      <c r="AV250" s="51">
        <f>ROUND(AW250+AX250,2)</f>
        <v>0</v>
      </c>
      <c r="AW250" s="51">
        <f>ROUND(F250*AO250,2)</f>
        <v>0</v>
      </c>
      <c r="AX250" s="51">
        <f>ROUND(F250*AP250,2)</f>
        <v>0</v>
      </c>
      <c r="AY250" s="53" t="s">
        <v>666</v>
      </c>
      <c r="AZ250" s="53" t="s">
        <v>634</v>
      </c>
      <c r="BA250" s="35" t="s">
        <v>117</v>
      </c>
      <c r="BC250" s="51">
        <f>AW250+AX250</f>
        <v>0</v>
      </c>
      <c r="BD250" s="51">
        <f>G250/(100-BE250)*100</f>
        <v>0</v>
      </c>
      <c r="BE250" s="51">
        <v>0</v>
      </c>
      <c r="BF250" s="51">
        <f>250</f>
        <v>250</v>
      </c>
      <c r="BH250" s="51">
        <f>F250*AO250</f>
        <v>0</v>
      </c>
      <c r="BI250" s="51">
        <f>F250*AP250</f>
        <v>0</v>
      </c>
      <c r="BJ250" s="51">
        <f>F250*G250</f>
        <v>0</v>
      </c>
      <c r="BK250" s="53" t="s">
        <v>118</v>
      </c>
      <c r="BL250" s="51">
        <v>783</v>
      </c>
      <c r="BW250" s="51">
        <v>12</v>
      </c>
      <c r="BX250" s="3" t="s">
        <v>673</v>
      </c>
    </row>
    <row r="251" spans="1:76">
      <c r="A251" s="47" t="s">
        <v>4</v>
      </c>
      <c r="B251" s="48" t="s">
        <v>674</v>
      </c>
      <c r="C251" s="150" t="s">
        <v>675</v>
      </c>
      <c r="D251" s="151"/>
      <c r="E251" s="49" t="s">
        <v>79</v>
      </c>
      <c r="F251" s="49" t="s">
        <v>79</v>
      </c>
      <c r="G251" s="50" t="s">
        <v>79</v>
      </c>
      <c r="H251" s="28">
        <f>SUM(H252:H259)</f>
        <v>0</v>
      </c>
      <c r="J251" s="41"/>
      <c r="AI251" s="35" t="s">
        <v>4</v>
      </c>
      <c r="AS251" s="28">
        <f>SUM(AJ252:AJ259)</f>
        <v>0</v>
      </c>
      <c r="AT251" s="28">
        <f>SUM(AK252:AK259)</f>
        <v>0</v>
      </c>
      <c r="AU251" s="28">
        <f>SUM(AL252:AL259)</f>
        <v>0</v>
      </c>
    </row>
    <row r="252" spans="1:76">
      <c r="A252" s="1" t="s">
        <v>676</v>
      </c>
      <c r="B252" s="2" t="s">
        <v>677</v>
      </c>
      <c r="C252" s="75" t="s">
        <v>678</v>
      </c>
      <c r="D252" s="70"/>
      <c r="E252" s="2" t="s">
        <v>124</v>
      </c>
      <c r="F252" s="51">
        <v>125.765</v>
      </c>
      <c r="G252" s="52">
        <v>0</v>
      </c>
      <c r="H252" s="51">
        <f>ROUND(F252*G252,2)</f>
        <v>0</v>
      </c>
      <c r="J252" s="41"/>
      <c r="Z252" s="51">
        <f>ROUND(IF(AQ252="5",BJ252,0),2)</f>
        <v>0</v>
      </c>
      <c r="AB252" s="51">
        <f>ROUND(IF(AQ252="1",BH252,0),2)</f>
        <v>0</v>
      </c>
      <c r="AC252" s="51">
        <f>ROUND(IF(AQ252="1",BI252,0),2)</f>
        <v>0</v>
      </c>
      <c r="AD252" s="51">
        <f>ROUND(IF(AQ252="7",BH252,0),2)</f>
        <v>0</v>
      </c>
      <c r="AE252" s="51">
        <f>ROUND(IF(AQ252="7",BI252,0),2)</f>
        <v>0</v>
      </c>
      <c r="AF252" s="51">
        <f>ROUND(IF(AQ252="2",BH252,0),2)</f>
        <v>0</v>
      </c>
      <c r="AG252" s="51">
        <f>ROUND(IF(AQ252="2",BI252,0),2)</f>
        <v>0</v>
      </c>
      <c r="AH252" s="51">
        <f>ROUND(IF(AQ252="0",BJ252,0),2)</f>
        <v>0</v>
      </c>
      <c r="AI252" s="35" t="s">
        <v>4</v>
      </c>
      <c r="AJ252" s="51">
        <f>IF(AN252=0,H252,0)</f>
        <v>0</v>
      </c>
      <c r="AK252" s="51">
        <f>IF(AN252=12,H252,0)</f>
        <v>0</v>
      </c>
      <c r="AL252" s="51">
        <f>IF(AN252=21,H252,0)</f>
        <v>0</v>
      </c>
      <c r="AN252" s="51">
        <v>12</v>
      </c>
      <c r="AO252" s="51">
        <f>G252*0.002098606</f>
        <v>0</v>
      </c>
      <c r="AP252" s="51">
        <f>G252*(1-0.002098606)</f>
        <v>0</v>
      </c>
      <c r="AQ252" s="53" t="s">
        <v>149</v>
      </c>
      <c r="AV252" s="51">
        <f>ROUND(AW252+AX252,2)</f>
        <v>0</v>
      </c>
      <c r="AW252" s="51">
        <f>ROUND(F252*AO252,2)</f>
        <v>0</v>
      </c>
      <c r="AX252" s="51">
        <f>ROUND(F252*AP252,2)</f>
        <v>0</v>
      </c>
      <c r="AY252" s="53" t="s">
        <v>679</v>
      </c>
      <c r="AZ252" s="53" t="s">
        <v>634</v>
      </c>
      <c r="BA252" s="35" t="s">
        <v>117</v>
      </c>
      <c r="BC252" s="51">
        <f>AW252+AX252</f>
        <v>0</v>
      </c>
      <c r="BD252" s="51">
        <f>G252/(100-BE252)*100</f>
        <v>0</v>
      </c>
      <c r="BE252" s="51">
        <v>0</v>
      </c>
      <c r="BF252" s="51">
        <f>252</f>
        <v>252</v>
      </c>
      <c r="BH252" s="51">
        <f>F252*AO252</f>
        <v>0</v>
      </c>
      <c r="BI252" s="51">
        <f>F252*AP252</f>
        <v>0</v>
      </c>
      <c r="BJ252" s="51">
        <f>F252*G252</f>
        <v>0</v>
      </c>
      <c r="BK252" s="53" t="s">
        <v>118</v>
      </c>
      <c r="BL252" s="51">
        <v>784</v>
      </c>
      <c r="BW252" s="51">
        <v>12</v>
      </c>
      <c r="BX252" s="3" t="s">
        <v>678</v>
      </c>
    </row>
    <row r="253" spans="1:76">
      <c r="A253" s="54"/>
      <c r="C253" s="56" t="s">
        <v>680</v>
      </c>
      <c r="D253" s="57" t="s">
        <v>681</v>
      </c>
      <c r="F253" s="58">
        <v>40.43</v>
      </c>
      <c r="J253" s="41"/>
    </row>
    <row r="254" spans="1:76">
      <c r="A254" s="54"/>
      <c r="C254" s="56" t="s">
        <v>194</v>
      </c>
      <c r="D254" s="57" t="s">
        <v>175</v>
      </c>
      <c r="F254" s="58">
        <v>7.85</v>
      </c>
      <c r="J254" s="41"/>
    </row>
    <row r="255" spans="1:76">
      <c r="A255" s="54"/>
      <c r="C255" s="56" t="s">
        <v>682</v>
      </c>
      <c r="D255" s="57" t="s">
        <v>177</v>
      </c>
      <c r="F255" s="58">
        <v>12.571</v>
      </c>
      <c r="J255" s="41"/>
    </row>
    <row r="256" spans="1:76">
      <c r="A256" s="54"/>
      <c r="C256" s="56" t="s">
        <v>683</v>
      </c>
      <c r="D256" s="57" t="s">
        <v>179</v>
      </c>
      <c r="F256" s="58">
        <v>21.294</v>
      </c>
      <c r="J256" s="41"/>
    </row>
    <row r="257" spans="1:76">
      <c r="A257" s="54"/>
      <c r="C257" s="56" t="s">
        <v>182</v>
      </c>
      <c r="D257" s="57" t="s">
        <v>183</v>
      </c>
      <c r="F257" s="58">
        <v>43.62</v>
      </c>
      <c r="J257" s="41"/>
    </row>
    <row r="258" spans="1:76">
      <c r="A258" s="1" t="s">
        <v>684</v>
      </c>
      <c r="B258" s="2" t="s">
        <v>685</v>
      </c>
      <c r="C258" s="75" t="s">
        <v>686</v>
      </c>
      <c r="D258" s="70"/>
      <c r="E258" s="2" t="s">
        <v>124</v>
      </c>
      <c r="F258" s="51">
        <v>136</v>
      </c>
      <c r="G258" s="52">
        <v>0</v>
      </c>
      <c r="H258" s="51">
        <f>ROUND(F258*G258,2)</f>
        <v>0</v>
      </c>
      <c r="J258" s="41"/>
      <c r="Z258" s="51">
        <f>ROUND(IF(AQ258="5",BJ258,0),2)</f>
        <v>0</v>
      </c>
      <c r="AB258" s="51">
        <f>ROUND(IF(AQ258="1",BH258,0),2)</f>
        <v>0</v>
      </c>
      <c r="AC258" s="51">
        <f>ROUND(IF(AQ258="1",BI258,0),2)</f>
        <v>0</v>
      </c>
      <c r="AD258" s="51">
        <f>ROUND(IF(AQ258="7",BH258,0),2)</f>
        <v>0</v>
      </c>
      <c r="AE258" s="51">
        <f>ROUND(IF(AQ258="7",BI258,0),2)</f>
        <v>0</v>
      </c>
      <c r="AF258" s="51">
        <f>ROUND(IF(AQ258="2",BH258,0),2)</f>
        <v>0</v>
      </c>
      <c r="AG258" s="51">
        <f>ROUND(IF(AQ258="2",BI258,0),2)</f>
        <v>0</v>
      </c>
      <c r="AH258" s="51">
        <f>ROUND(IF(AQ258="0",BJ258,0),2)</f>
        <v>0</v>
      </c>
      <c r="AI258" s="35" t="s">
        <v>4</v>
      </c>
      <c r="AJ258" s="51">
        <f>IF(AN258=0,H258,0)</f>
        <v>0</v>
      </c>
      <c r="AK258" s="51">
        <f>IF(AN258=12,H258,0)</f>
        <v>0</v>
      </c>
      <c r="AL258" s="51">
        <f>IF(AN258=21,H258,0)</f>
        <v>0</v>
      </c>
      <c r="AN258" s="51">
        <v>12</v>
      </c>
      <c r="AO258" s="51">
        <f>G258*0.233971131</f>
        <v>0</v>
      </c>
      <c r="AP258" s="51">
        <f>G258*(1-0.233971131)</f>
        <v>0</v>
      </c>
      <c r="AQ258" s="53" t="s">
        <v>149</v>
      </c>
      <c r="AV258" s="51">
        <f>ROUND(AW258+AX258,2)</f>
        <v>0</v>
      </c>
      <c r="AW258" s="51">
        <f>ROUND(F258*AO258,2)</f>
        <v>0</v>
      </c>
      <c r="AX258" s="51">
        <f>ROUND(F258*AP258,2)</f>
        <v>0</v>
      </c>
      <c r="AY258" s="53" t="s">
        <v>679</v>
      </c>
      <c r="AZ258" s="53" t="s">
        <v>634</v>
      </c>
      <c r="BA258" s="35" t="s">
        <v>117</v>
      </c>
      <c r="BC258" s="51">
        <f>AW258+AX258</f>
        <v>0</v>
      </c>
      <c r="BD258" s="51">
        <f>G258/(100-BE258)*100</f>
        <v>0</v>
      </c>
      <c r="BE258" s="51">
        <v>0</v>
      </c>
      <c r="BF258" s="51">
        <f>258</f>
        <v>258</v>
      </c>
      <c r="BH258" s="51">
        <f>F258*AO258</f>
        <v>0</v>
      </c>
      <c r="BI258" s="51">
        <f>F258*AP258</f>
        <v>0</v>
      </c>
      <c r="BJ258" s="51">
        <f>F258*G258</f>
        <v>0</v>
      </c>
      <c r="BK258" s="53" t="s">
        <v>118</v>
      </c>
      <c r="BL258" s="51">
        <v>784</v>
      </c>
      <c r="BW258" s="51">
        <v>12</v>
      </c>
      <c r="BX258" s="3" t="s">
        <v>686</v>
      </c>
    </row>
    <row r="259" spans="1:76">
      <c r="A259" s="1" t="s">
        <v>687</v>
      </c>
      <c r="B259" s="2" t="s">
        <v>688</v>
      </c>
      <c r="C259" s="75" t="s">
        <v>689</v>
      </c>
      <c r="D259" s="70"/>
      <c r="E259" s="2" t="s">
        <v>124</v>
      </c>
      <c r="F259" s="51">
        <v>136</v>
      </c>
      <c r="G259" s="52">
        <v>0</v>
      </c>
      <c r="H259" s="51">
        <f>ROUND(F259*G259,2)</f>
        <v>0</v>
      </c>
      <c r="J259" s="41"/>
      <c r="Z259" s="51">
        <f>ROUND(IF(AQ259="5",BJ259,0),2)</f>
        <v>0</v>
      </c>
      <c r="AB259" s="51">
        <f>ROUND(IF(AQ259="1",BH259,0),2)</f>
        <v>0</v>
      </c>
      <c r="AC259" s="51">
        <f>ROUND(IF(AQ259="1",BI259,0),2)</f>
        <v>0</v>
      </c>
      <c r="AD259" s="51">
        <f>ROUND(IF(AQ259="7",BH259,0),2)</f>
        <v>0</v>
      </c>
      <c r="AE259" s="51">
        <f>ROUND(IF(AQ259="7",BI259,0),2)</f>
        <v>0</v>
      </c>
      <c r="AF259" s="51">
        <f>ROUND(IF(AQ259="2",BH259,0),2)</f>
        <v>0</v>
      </c>
      <c r="AG259" s="51">
        <f>ROUND(IF(AQ259="2",BI259,0),2)</f>
        <v>0</v>
      </c>
      <c r="AH259" s="51">
        <f>ROUND(IF(AQ259="0",BJ259,0),2)</f>
        <v>0</v>
      </c>
      <c r="AI259" s="35" t="s">
        <v>4</v>
      </c>
      <c r="AJ259" s="51">
        <f>IF(AN259=0,H259,0)</f>
        <v>0</v>
      </c>
      <c r="AK259" s="51">
        <f>IF(AN259=12,H259,0)</f>
        <v>0</v>
      </c>
      <c r="AL259" s="51">
        <f>IF(AN259=21,H259,0)</f>
        <v>0</v>
      </c>
      <c r="AN259" s="51">
        <v>12</v>
      </c>
      <c r="AO259" s="51">
        <f>G259*0.207286015</f>
        <v>0</v>
      </c>
      <c r="AP259" s="51">
        <f>G259*(1-0.207286015)</f>
        <v>0</v>
      </c>
      <c r="AQ259" s="53" t="s">
        <v>149</v>
      </c>
      <c r="AV259" s="51">
        <f>ROUND(AW259+AX259,2)</f>
        <v>0</v>
      </c>
      <c r="AW259" s="51">
        <f>ROUND(F259*AO259,2)</f>
        <v>0</v>
      </c>
      <c r="AX259" s="51">
        <f>ROUND(F259*AP259,2)</f>
        <v>0</v>
      </c>
      <c r="AY259" s="53" t="s">
        <v>679</v>
      </c>
      <c r="AZ259" s="53" t="s">
        <v>634</v>
      </c>
      <c r="BA259" s="35" t="s">
        <v>117</v>
      </c>
      <c r="BC259" s="51">
        <f>AW259+AX259</f>
        <v>0</v>
      </c>
      <c r="BD259" s="51">
        <f>G259/(100-BE259)*100</f>
        <v>0</v>
      </c>
      <c r="BE259" s="51">
        <v>0</v>
      </c>
      <c r="BF259" s="51">
        <f>259</f>
        <v>259</v>
      </c>
      <c r="BH259" s="51">
        <f>F259*AO259</f>
        <v>0</v>
      </c>
      <c r="BI259" s="51">
        <f>F259*AP259</f>
        <v>0</v>
      </c>
      <c r="BJ259" s="51">
        <f>F259*G259</f>
        <v>0</v>
      </c>
      <c r="BK259" s="53" t="s">
        <v>118</v>
      </c>
      <c r="BL259" s="51">
        <v>784</v>
      </c>
      <c r="BW259" s="51">
        <v>12</v>
      </c>
      <c r="BX259" s="3" t="s">
        <v>689</v>
      </c>
    </row>
    <row r="260" spans="1:76">
      <c r="A260" s="54"/>
      <c r="C260" s="56" t="s">
        <v>690</v>
      </c>
      <c r="D260" s="57" t="s">
        <v>4</v>
      </c>
      <c r="F260" s="58">
        <v>136</v>
      </c>
      <c r="J260" s="41"/>
    </row>
    <row r="261" spans="1:76">
      <c r="A261" s="47" t="s">
        <v>4</v>
      </c>
      <c r="B261" s="48" t="s">
        <v>691</v>
      </c>
      <c r="C261" s="150" t="s">
        <v>692</v>
      </c>
      <c r="D261" s="151"/>
      <c r="E261" s="49" t="s">
        <v>79</v>
      </c>
      <c r="F261" s="49" t="s">
        <v>79</v>
      </c>
      <c r="G261" s="50" t="s">
        <v>79</v>
      </c>
      <c r="H261" s="28">
        <f>SUM(H262:H266)</f>
        <v>0</v>
      </c>
      <c r="J261" s="41"/>
      <c r="AI261" s="35" t="s">
        <v>4</v>
      </c>
      <c r="AS261" s="28">
        <f>SUM(AJ262:AJ266)</f>
        <v>0</v>
      </c>
      <c r="AT261" s="28">
        <f>SUM(AK262:AK266)</f>
        <v>0</v>
      </c>
      <c r="AU261" s="28">
        <f>SUM(AL262:AL266)</f>
        <v>0</v>
      </c>
    </row>
    <row r="262" spans="1:76">
      <c r="A262" s="1" t="s">
        <v>693</v>
      </c>
      <c r="B262" s="2" t="s">
        <v>694</v>
      </c>
      <c r="C262" s="75" t="s">
        <v>695</v>
      </c>
      <c r="D262" s="70"/>
      <c r="E262" s="2" t="s">
        <v>114</v>
      </c>
      <c r="F262" s="51">
        <v>1</v>
      </c>
      <c r="G262" s="52">
        <v>0</v>
      </c>
      <c r="H262" s="51">
        <f>ROUND(F262*G262,2)</f>
        <v>0</v>
      </c>
      <c r="J262" s="41"/>
      <c r="Z262" s="51">
        <f>ROUND(IF(AQ262="5",BJ262,0),2)</f>
        <v>0</v>
      </c>
      <c r="AB262" s="51">
        <f>ROUND(IF(AQ262="1",BH262,0),2)</f>
        <v>0</v>
      </c>
      <c r="AC262" s="51">
        <f>ROUND(IF(AQ262="1",BI262,0),2)</f>
        <v>0</v>
      </c>
      <c r="AD262" s="51">
        <f>ROUND(IF(AQ262="7",BH262,0),2)</f>
        <v>0</v>
      </c>
      <c r="AE262" s="51">
        <f>ROUND(IF(AQ262="7",BI262,0),2)</f>
        <v>0</v>
      </c>
      <c r="AF262" s="51">
        <f>ROUND(IF(AQ262="2",BH262,0),2)</f>
        <v>0</v>
      </c>
      <c r="AG262" s="51">
        <f>ROUND(IF(AQ262="2",BI262,0),2)</f>
        <v>0</v>
      </c>
      <c r="AH262" s="51">
        <f>ROUND(IF(AQ262="0",BJ262,0),2)</f>
        <v>0</v>
      </c>
      <c r="AI262" s="35" t="s">
        <v>4</v>
      </c>
      <c r="AJ262" s="51">
        <f>IF(AN262=0,H262,0)</f>
        <v>0</v>
      </c>
      <c r="AK262" s="51">
        <f>IF(AN262=12,H262,0)</f>
        <v>0</v>
      </c>
      <c r="AL262" s="51">
        <f>IF(AN262=21,H262,0)</f>
        <v>0</v>
      </c>
      <c r="AN262" s="51">
        <v>12</v>
      </c>
      <c r="AO262" s="51">
        <f>G262*0</f>
        <v>0</v>
      </c>
      <c r="AP262" s="51">
        <f>G262*(1-0)</f>
        <v>0</v>
      </c>
      <c r="AQ262" s="53" t="s">
        <v>121</v>
      </c>
      <c r="AV262" s="51">
        <f>ROUND(AW262+AX262,2)</f>
        <v>0</v>
      </c>
      <c r="AW262" s="51">
        <f>ROUND(F262*AO262,2)</f>
        <v>0</v>
      </c>
      <c r="AX262" s="51">
        <f>ROUND(F262*AP262,2)</f>
        <v>0</v>
      </c>
      <c r="AY262" s="53" t="s">
        <v>696</v>
      </c>
      <c r="AZ262" s="53" t="s">
        <v>240</v>
      </c>
      <c r="BA262" s="35" t="s">
        <v>117</v>
      </c>
      <c r="BC262" s="51">
        <f>AW262+AX262</f>
        <v>0</v>
      </c>
      <c r="BD262" s="51">
        <f>G262/(100-BE262)*100</f>
        <v>0</v>
      </c>
      <c r="BE262" s="51">
        <v>0</v>
      </c>
      <c r="BF262" s="51">
        <f>262</f>
        <v>262</v>
      </c>
      <c r="BH262" s="51">
        <f>F262*AO262</f>
        <v>0</v>
      </c>
      <c r="BI262" s="51">
        <f>F262*AP262</f>
        <v>0</v>
      </c>
      <c r="BJ262" s="51">
        <f>F262*G262</f>
        <v>0</v>
      </c>
      <c r="BK262" s="53" t="s">
        <v>118</v>
      </c>
      <c r="BL262" s="51"/>
      <c r="BW262" s="51">
        <v>12</v>
      </c>
      <c r="BX262" s="3" t="s">
        <v>695</v>
      </c>
    </row>
    <row r="263" spans="1:76">
      <c r="A263" s="1" t="s">
        <v>697</v>
      </c>
      <c r="B263" s="2" t="s">
        <v>698</v>
      </c>
      <c r="C263" s="75" t="s">
        <v>699</v>
      </c>
      <c r="D263" s="70"/>
      <c r="E263" s="2" t="s">
        <v>114</v>
      </c>
      <c r="F263" s="51">
        <v>1</v>
      </c>
      <c r="G263" s="52">
        <v>0</v>
      </c>
      <c r="H263" s="51">
        <f>ROUND(F263*G263,2)</f>
        <v>0</v>
      </c>
      <c r="J263" s="41"/>
      <c r="Z263" s="51">
        <f>ROUND(IF(AQ263="5",BJ263,0),2)</f>
        <v>0</v>
      </c>
      <c r="AB263" s="51">
        <f>ROUND(IF(AQ263="1",BH263,0),2)</f>
        <v>0</v>
      </c>
      <c r="AC263" s="51">
        <f>ROUND(IF(AQ263="1",BI263,0),2)</f>
        <v>0</v>
      </c>
      <c r="AD263" s="51">
        <f>ROUND(IF(AQ263="7",BH263,0),2)</f>
        <v>0</v>
      </c>
      <c r="AE263" s="51">
        <f>ROUND(IF(AQ263="7",BI263,0),2)</f>
        <v>0</v>
      </c>
      <c r="AF263" s="51">
        <f>ROUND(IF(AQ263="2",BH263,0),2)</f>
        <v>0</v>
      </c>
      <c r="AG263" s="51">
        <f>ROUND(IF(AQ263="2",BI263,0),2)</f>
        <v>0</v>
      </c>
      <c r="AH263" s="51">
        <f>ROUND(IF(AQ263="0",BJ263,0),2)</f>
        <v>0</v>
      </c>
      <c r="AI263" s="35" t="s">
        <v>4</v>
      </c>
      <c r="AJ263" s="51">
        <f>IF(AN263=0,H263,0)</f>
        <v>0</v>
      </c>
      <c r="AK263" s="51">
        <f>IF(AN263=12,H263,0)</f>
        <v>0</v>
      </c>
      <c r="AL263" s="51">
        <f>IF(AN263=21,H263,0)</f>
        <v>0</v>
      </c>
      <c r="AN263" s="51">
        <v>12</v>
      </c>
      <c r="AO263" s="51">
        <f>G263*0</f>
        <v>0</v>
      </c>
      <c r="AP263" s="51">
        <f>G263*(1-0)</f>
        <v>0</v>
      </c>
      <c r="AQ263" s="53" t="s">
        <v>121</v>
      </c>
      <c r="AV263" s="51">
        <f>ROUND(AW263+AX263,2)</f>
        <v>0</v>
      </c>
      <c r="AW263" s="51">
        <f>ROUND(F263*AO263,2)</f>
        <v>0</v>
      </c>
      <c r="AX263" s="51">
        <f>ROUND(F263*AP263,2)</f>
        <v>0</v>
      </c>
      <c r="AY263" s="53" t="s">
        <v>696</v>
      </c>
      <c r="AZ263" s="53" t="s">
        <v>240</v>
      </c>
      <c r="BA263" s="35" t="s">
        <v>117</v>
      </c>
      <c r="BC263" s="51">
        <f>AW263+AX263</f>
        <v>0</v>
      </c>
      <c r="BD263" s="51">
        <f>G263/(100-BE263)*100</f>
        <v>0</v>
      </c>
      <c r="BE263" s="51">
        <v>0</v>
      </c>
      <c r="BF263" s="51">
        <f>263</f>
        <v>263</v>
      </c>
      <c r="BH263" s="51">
        <f>F263*AO263</f>
        <v>0</v>
      </c>
      <c r="BI263" s="51">
        <f>F263*AP263</f>
        <v>0</v>
      </c>
      <c r="BJ263" s="51">
        <f>F263*G263</f>
        <v>0</v>
      </c>
      <c r="BK263" s="53" t="s">
        <v>118</v>
      </c>
      <c r="BL263" s="51"/>
      <c r="BW263" s="51">
        <v>12</v>
      </c>
      <c r="BX263" s="3" t="s">
        <v>699</v>
      </c>
    </row>
    <row r="264" spans="1:76">
      <c r="A264" s="1" t="s">
        <v>700</v>
      </c>
      <c r="B264" s="2" t="s">
        <v>701</v>
      </c>
      <c r="C264" s="75" t="s">
        <v>702</v>
      </c>
      <c r="D264" s="70"/>
      <c r="E264" s="2" t="s">
        <v>416</v>
      </c>
      <c r="F264" s="51">
        <v>1</v>
      </c>
      <c r="G264" s="52">
        <v>0</v>
      </c>
      <c r="H264" s="51">
        <f>ROUND(F264*G264,2)</f>
        <v>0</v>
      </c>
      <c r="J264" s="41"/>
      <c r="Z264" s="51">
        <f>ROUND(IF(AQ264="5",BJ264,0),2)</f>
        <v>0</v>
      </c>
      <c r="AB264" s="51">
        <f>ROUND(IF(AQ264="1",BH264,0),2)</f>
        <v>0</v>
      </c>
      <c r="AC264" s="51">
        <f>ROUND(IF(AQ264="1",BI264,0),2)</f>
        <v>0</v>
      </c>
      <c r="AD264" s="51">
        <f>ROUND(IF(AQ264="7",BH264,0),2)</f>
        <v>0</v>
      </c>
      <c r="AE264" s="51">
        <f>ROUND(IF(AQ264="7",BI264,0),2)</f>
        <v>0</v>
      </c>
      <c r="AF264" s="51">
        <f>ROUND(IF(AQ264="2",BH264,0),2)</f>
        <v>0</v>
      </c>
      <c r="AG264" s="51">
        <f>ROUND(IF(AQ264="2",BI264,0),2)</f>
        <v>0</v>
      </c>
      <c r="AH264" s="51">
        <f>ROUND(IF(AQ264="0",BJ264,0),2)</f>
        <v>0</v>
      </c>
      <c r="AI264" s="35" t="s">
        <v>4</v>
      </c>
      <c r="AJ264" s="51">
        <f>IF(AN264=0,H264,0)</f>
        <v>0</v>
      </c>
      <c r="AK264" s="51">
        <f>IF(AN264=12,H264,0)</f>
        <v>0</v>
      </c>
      <c r="AL264" s="51">
        <f>IF(AN264=21,H264,0)</f>
        <v>0</v>
      </c>
      <c r="AN264" s="51">
        <v>12</v>
      </c>
      <c r="AO264" s="51">
        <f>G264*0</f>
        <v>0</v>
      </c>
      <c r="AP264" s="51">
        <f>G264*(1-0)</f>
        <v>0</v>
      </c>
      <c r="AQ264" s="53" t="s">
        <v>121</v>
      </c>
      <c r="AV264" s="51">
        <f>ROUND(AW264+AX264,2)</f>
        <v>0</v>
      </c>
      <c r="AW264" s="51">
        <f>ROUND(F264*AO264,2)</f>
        <v>0</v>
      </c>
      <c r="AX264" s="51">
        <f>ROUND(F264*AP264,2)</f>
        <v>0</v>
      </c>
      <c r="AY264" s="53" t="s">
        <v>696</v>
      </c>
      <c r="AZ264" s="53" t="s">
        <v>240</v>
      </c>
      <c r="BA264" s="35" t="s">
        <v>117</v>
      </c>
      <c r="BC264" s="51">
        <f>AW264+AX264</f>
        <v>0</v>
      </c>
      <c r="BD264" s="51">
        <f>G264/(100-BE264)*100</f>
        <v>0</v>
      </c>
      <c r="BE264" s="51">
        <v>0</v>
      </c>
      <c r="BF264" s="51">
        <f>264</f>
        <v>264</v>
      </c>
      <c r="BH264" s="51">
        <f>F264*AO264</f>
        <v>0</v>
      </c>
      <c r="BI264" s="51">
        <f>F264*AP264</f>
        <v>0</v>
      </c>
      <c r="BJ264" s="51">
        <f>F264*G264</f>
        <v>0</v>
      </c>
      <c r="BK264" s="53" t="s">
        <v>118</v>
      </c>
      <c r="BL264" s="51"/>
      <c r="BW264" s="51">
        <v>12</v>
      </c>
      <c r="BX264" s="3" t="s">
        <v>702</v>
      </c>
    </row>
    <row r="265" spans="1:76">
      <c r="A265" s="1" t="s">
        <v>703</v>
      </c>
      <c r="B265" s="2" t="s">
        <v>704</v>
      </c>
      <c r="C265" s="75" t="s">
        <v>705</v>
      </c>
      <c r="D265" s="70"/>
      <c r="E265" s="2" t="s">
        <v>416</v>
      </c>
      <c r="F265" s="51">
        <v>1</v>
      </c>
      <c r="G265" s="52">
        <v>0</v>
      </c>
      <c r="H265" s="51">
        <f>ROUND(F265*G265,2)</f>
        <v>0</v>
      </c>
      <c r="J265" s="41"/>
      <c r="Z265" s="51">
        <f>ROUND(IF(AQ265="5",BJ265,0),2)</f>
        <v>0</v>
      </c>
      <c r="AB265" s="51">
        <f>ROUND(IF(AQ265="1",BH265,0),2)</f>
        <v>0</v>
      </c>
      <c r="AC265" s="51">
        <f>ROUND(IF(AQ265="1",BI265,0),2)</f>
        <v>0</v>
      </c>
      <c r="AD265" s="51">
        <f>ROUND(IF(AQ265="7",BH265,0),2)</f>
        <v>0</v>
      </c>
      <c r="AE265" s="51">
        <f>ROUND(IF(AQ265="7",BI265,0),2)</f>
        <v>0</v>
      </c>
      <c r="AF265" s="51">
        <f>ROUND(IF(AQ265="2",BH265,0),2)</f>
        <v>0</v>
      </c>
      <c r="AG265" s="51">
        <f>ROUND(IF(AQ265="2",BI265,0),2)</f>
        <v>0</v>
      </c>
      <c r="AH265" s="51">
        <f>ROUND(IF(AQ265="0",BJ265,0),2)</f>
        <v>0</v>
      </c>
      <c r="AI265" s="35" t="s">
        <v>4</v>
      </c>
      <c r="AJ265" s="51">
        <f>IF(AN265=0,H265,0)</f>
        <v>0</v>
      </c>
      <c r="AK265" s="51">
        <f>IF(AN265=12,H265,0)</f>
        <v>0</v>
      </c>
      <c r="AL265" s="51">
        <f>IF(AN265=21,H265,0)</f>
        <v>0</v>
      </c>
      <c r="AN265" s="51">
        <v>12</v>
      </c>
      <c r="AO265" s="51">
        <f>G265*0</f>
        <v>0</v>
      </c>
      <c r="AP265" s="51">
        <f>G265*(1-0)</f>
        <v>0</v>
      </c>
      <c r="AQ265" s="53" t="s">
        <v>121</v>
      </c>
      <c r="AV265" s="51">
        <f>ROUND(AW265+AX265,2)</f>
        <v>0</v>
      </c>
      <c r="AW265" s="51">
        <f>ROUND(F265*AO265,2)</f>
        <v>0</v>
      </c>
      <c r="AX265" s="51">
        <f>ROUND(F265*AP265,2)</f>
        <v>0</v>
      </c>
      <c r="AY265" s="53" t="s">
        <v>696</v>
      </c>
      <c r="AZ265" s="53" t="s">
        <v>240</v>
      </c>
      <c r="BA265" s="35" t="s">
        <v>117</v>
      </c>
      <c r="BC265" s="51">
        <f>AW265+AX265</f>
        <v>0</v>
      </c>
      <c r="BD265" s="51">
        <f>G265/(100-BE265)*100</f>
        <v>0</v>
      </c>
      <c r="BE265" s="51">
        <v>0</v>
      </c>
      <c r="BF265" s="51">
        <f>265</f>
        <v>265</v>
      </c>
      <c r="BH265" s="51">
        <f>F265*AO265</f>
        <v>0</v>
      </c>
      <c r="BI265" s="51">
        <f>F265*AP265</f>
        <v>0</v>
      </c>
      <c r="BJ265" s="51">
        <f>F265*G265</f>
        <v>0</v>
      </c>
      <c r="BK265" s="53" t="s">
        <v>118</v>
      </c>
      <c r="BL265" s="51"/>
      <c r="BW265" s="51">
        <v>12</v>
      </c>
      <c r="BX265" s="3" t="s">
        <v>705</v>
      </c>
    </row>
    <row r="266" spans="1:76">
      <c r="A266" s="1" t="s">
        <v>706</v>
      </c>
      <c r="B266" s="2" t="s">
        <v>707</v>
      </c>
      <c r="C266" s="75" t="s">
        <v>708</v>
      </c>
      <c r="D266" s="70"/>
      <c r="E266" s="2" t="s">
        <v>114</v>
      </c>
      <c r="F266" s="51">
        <v>1</v>
      </c>
      <c r="G266" s="52">
        <v>0</v>
      </c>
      <c r="H266" s="51">
        <f>ROUND(F266*G266,2)</f>
        <v>0</v>
      </c>
      <c r="J266" s="41"/>
      <c r="Z266" s="51">
        <f>ROUND(IF(AQ266="5",BJ266,0),2)</f>
        <v>0</v>
      </c>
      <c r="AB266" s="51">
        <f>ROUND(IF(AQ266="1",BH266,0),2)</f>
        <v>0</v>
      </c>
      <c r="AC266" s="51">
        <f>ROUND(IF(AQ266="1",BI266,0),2)</f>
        <v>0</v>
      </c>
      <c r="AD266" s="51">
        <f>ROUND(IF(AQ266="7",BH266,0),2)</f>
        <v>0</v>
      </c>
      <c r="AE266" s="51">
        <f>ROUND(IF(AQ266="7",BI266,0),2)</f>
        <v>0</v>
      </c>
      <c r="AF266" s="51">
        <f>ROUND(IF(AQ266="2",BH266,0),2)</f>
        <v>0</v>
      </c>
      <c r="AG266" s="51">
        <f>ROUND(IF(AQ266="2",BI266,0),2)</f>
        <v>0</v>
      </c>
      <c r="AH266" s="51">
        <f>ROUND(IF(AQ266="0",BJ266,0),2)</f>
        <v>0</v>
      </c>
      <c r="AI266" s="35" t="s">
        <v>4</v>
      </c>
      <c r="AJ266" s="51">
        <f>IF(AN266=0,H266,0)</f>
        <v>0</v>
      </c>
      <c r="AK266" s="51">
        <f>IF(AN266=12,H266,0)</f>
        <v>0</v>
      </c>
      <c r="AL266" s="51">
        <f>IF(AN266=21,H266,0)</f>
        <v>0</v>
      </c>
      <c r="AN266" s="51">
        <v>12</v>
      </c>
      <c r="AO266" s="51">
        <f>G266*0</f>
        <v>0</v>
      </c>
      <c r="AP266" s="51">
        <f>G266*(1-0)</f>
        <v>0</v>
      </c>
      <c r="AQ266" s="53" t="s">
        <v>121</v>
      </c>
      <c r="AV266" s="51">
        <f>ROUND(AW266+AX266,2)</f>
        <v>0</v>
      </c>
      <c r="AW266" s="51">
        <f>ROUND(F266*AO266,2)</f>
        <v>0</v>
      </c>
      <c r="AX266" s="51">
        <f>ROUND(F266*AP266,2)</f>
        <v>0</v>
      </c>
      <c r="AY266" s="53" t="s">
        <v>696</v>
      </c>
      <c r="AZ266" s="53" t="s">
        <v>240</v>
      </c>
      <c r="BA266" s="35" t="s">
        <v>117</v>
      </c>
      <c r="BC266" s="51">
        <f>AW266+AX266</f>
        <v>0</v>
      </c>
      <c r="BD266" s="51">
        <f>G266/(100-BE266)*100</f>
        <v>0</v>
      </c>
      <c r="BE266" s="51">
        <v>0</v>
      </c>
      <c r="BF266" s="51">
        <f>266</f>
        <v>266</v>
      </c>
      <c r="BH266" s="51">
        <f>F266*AO266</f>
        <v>0</v>
      </c>
      <c r="BI266" s="51">
        <f>F266*AP266</f>
        <v>0</v>
      </c>
      <c r="BJ266" s="51">
        <f>F266*G266</f>
        <v>0</v>
      </c>
      <c r="BK266" s="53" t="s">
        <v>118</v>
      </c>
      <c r="BL266" s="51"/>
      <c r="BW266" s="51">
        <v>12</v>
      </c>
      <c r="BX266" s="3" t="s">
        <v>708</v>
      </c>
    </row>
    <row r="267" spans="1:76">
      <c r="A267" s="47" t="s">
        <v>4</v>
      </c>
      <c r="B267" s="48" t="s">
        <v>709</v>
      </c>
      <c r="C267" s="150" t="s">
        <v>57</v>
      </c>
      <c r="D267" s="151"/>
      <c r="E267" s="49" t="s">
        <v>79</v>
      </c>
      <c r="F267" s="49" t="s">
        <v>79</v>
      </c>
      <c r="G267" s="50" t="s">
        <v>79</v>
      </c>
      <c r="H267" s="28">
        <f>H268+H270</f>
        <v>0</v>
      </c>
      <c r="J267" s="41"/>
      <c r="AI267" s="35" t="s">
        <v>4</v>
      </c>
    </row>
    <row r="268" spans="1:76">
      <c r="A268" s="47" t="s">
        <v>4</v>
      </c>
      <c r="B268" s="48" t="s">
        <v>710</v>
      </c>
      <c r="C268" s="150" t="s">
        <v>25</v>
      </c>
      <c r="D268" s="151"/>
      <c r="E268" s="49" t="s">
        <v>79</v>
      </c>
      <c r="F268" s="49" t="s">
        <v>79</v>
      </c>
      <c r="G268" s="50" t="s">
        <v>79</v>
      </c>
      <c r="H268" s="28">
        <f>SUM(H269:H269)</f>
        <v>0</v>
      </c>
      <c r="J268" s="41"/>
      <c r="AI268" s="35" t="s">
        <v>4</v>
      </c>
      <c r="AS268" s="28">
        <f>SUM(AJ269:AJ269)</f>
        <v>0</v>
      </c>
      <c r="AT268" s="28">
        <f>SUM(AK269:AK269)</f>
        <v>0</v>
      </c>
      <c r="AU268" s="28">
        <f>SUM(AL269:AL269)</f>
        <v>0</v>
      </c>
    </row>
    <row r="269" spans="1:76">
      <c r="A269" s="1" t="s">
        <v>711</v>
      </c>
      <c r="B269" s="2" t="s">
        <v>712</v>
      </c>
      <c r="C269" s="75" t="s">
        <v>25</v>
      </c>
      <c r="D269" s="70"/>
      <c r="E269" s="2" t="s">
        <v>713</v>
      </c>
      <c r="F269" s="51">
        <v>1</v>
      </c>
      <c r="G269" s="52">
        <v>0</v>
      </c>
      <c r="H269" s="51">
        <f>ROUND(F269*G269,2)</f>
        <v>0</v>
      </c>
      <c r="J269" s="41"/>
      <c r="Z269" s="51">
        <f>ROUND(IF(AQ269="5",BJ269,0),2)</f>
        <v>0</v>
      </c>
      <c r="AB269" s="51">
        <f>ROUND(IF(AQ269="1",BH269,0),2)</f>
        <v>0</v>
      </c>
      <c r="AC269" s="51">
        <f>ROUND(IF(AQ269="1",BI269,0),2)</f>
        <v>0</v>
      </c>
      <c r="AD269" s="51">
        <f>ROUND(IF(AQ269="7",BH269,0),2)</f>
        <v>0</v>
      </c>
      <c r="AE269" s="51">
        <f>ROUND(IF(AQ269="7",BI269,0),2)</f>
        <v>0</v>
      </c>
      <c r="AF269" s="51">
        <f>ROUND(IF(AQ269="2",BH269,0),2)</f>
        <v>0</v>
      </c>
      <c r="AG269" s="51">
        <f>ROUND(IF(AQ269="2",BI269,0),2)</f>
        <v>0</v>
      </c>
      <c r="AH269" s="51">
        <f>ROUND(IF(AQ269="0",BJ269,0),2)</f>
        <v>0</v>
      </c>
      <c r="AI269" s="35" t="s">
        <v>4</v>
      </c>
      <c r="AJ269" s="51">
        <f>IF(AN269=0,H269,0)</f>
        <v>0</v>
      </c>
      <c r="AK269" s="51">
        <f>IF(AN269=12,H269,0)</f>
        <v>0</v>
      </c>
      <c r="AL269" s="51">
        <f>IF(AN269=21,H269,0)</f>
        <v>0</v>
      </c>
      <c r="AN269" s="51">
        <v>12</v>
      </c>
      <c r="AO269" s="51">
        <f>G269*0</f>
        <v>0</v>
      </c>
      <c r="AP269" s="51">
        <f>G269*(1-0)</f>
        <v>0</v>
      </c>
      <c r="AQ269" s="53" t="s">
        <v>310</v>
      </c>
      <c r="AV269" s="51">
        <f>ROUND(AW269+AX269,2)</f>
        <v>0</v>
      </c>
      <c r="AW269" s="51">
        <f>ROUND(F269*AO269,2)</f>
        <v>0</v>
      </c>
      <c r="AX269" s="51">
        <f>ROUND(F269*AP269,2)</f>
        <v>0</v>
      </c>
      <c r="AY269" s="53" t="s">
        <v>714</v>
      </c>
      <c r="AZ269" s="53" t="s">
        <v>715</v>
      </c>
      <c r="BA269" s="35" t="s">
        <v>117</v>
      </c>
      <c r="BC269" s="51">
        <f>AW269+AX269</f>
        <v>0</v>
      </c>
      <c r="BD269" s="51">
        <f>G269/(100-BE269)*100</f>
        <v>0</v>
      </c>
      <c r="BE269" s="51">
        <v>0</v>
      </c>
      <c r="BF269" s="51">
        <f>269</f>
        <v>269</v>
      </c>
      <c r="BH269" s="51">
        <f>F269*AO269</f>
        <v>0</v>
      </c>
      <c r="BI269" s="51">
        <f>F269*AP269</f>
        <v>0</v>
      </c>
      <c r="BJ269" s="51">
        <f>F269*G269</f>
        <v>0</v>
      </c>
      <c r="BK269" s="53" t="s">
        <v>118</v>
      </c>
      <c r="BL269" s="51"/>
      <c r="BO269" s="51">
        <f>F269*G269</f>
        <v>0</v>
      </c>
      <c r="BW269" s="51">
        <v>12</v>
      </c>
      <c r="BX269" s="3" t="s">
        <v>25</v>
      </c>
    </row>
    <row r="270" spans="1:76">
      <c r="A270" s="47" t="s">
        <v>4</v>
      </c>
      <c r="B270" s="48" t="s">
        <v>716</v>
      </c>
      <c r="C270" s="150" t="s">
        <v>31</v>
      </c>
      <c r="D270" s="151"/>
      <c r="E270" s="49" t="s">
        <v>79</v>
      </c>
      <c r="F270" s="49" t="s">
        <v>79</v>
      </c>
      <c r="G270" s="50" t="s">
        <v>79</v>
      </c>
      <c r="H270" s="28">
        <f>SUM(H271:H271)</f>
        <v>0</v>
      </c>
      <c r="J270" s="41"/>
      <c r="AI270" s="35" t="s">
        <v>4</v>
      </c>
      <c r="AS270" s="28">
        <f>SUM(AJ271:AJ271)</f>
        <v>0</v>
      </c>
      <c r="AT270" s="28">
        <f>SUM(AK271:AK271)</f>
        <v>0</v>
      </c>
      <c r="AU270" s="28">
        <f>SUM(AL271:AL271)</f>
        <v>0</v>
      </c>
    </row>
    <row r="271" spans="1:76">
      <c r="A271" s="4" t="s">
        <v>717</v>
      </c>
      <c r="B271" s="5" t="s">
        <v>718</v>
      </c>
      <c r="C271" s="156" t="s">
        <v>719</v>
      </c>
      <c r="D271" s="73"/>
      <c r="E271" s="5" t="s">
        <v>713</v>
      </c>
      <c r="F271" s="59">
        <v>1</v>
      </c>
      <c r="G271" s="60">
        <v>0</v>
      </c>
      <c r="H271" s="59">
        <f>ROUND(F271*G271,2)</f>
        <v>0</v>
      </c>
      <c r="I271" s="61"/>
      <c r="J271" s="62"/>
      <c r="Z271" s="51">
        <f>ROUND(IF(AQ271="5",BJ271,0),2)</f>
        <v>0</v>
      </c>
      <c r="AB271" s="51">
        <f>ROUND(IF(AQ271="1",BH271,0),2)</f>
        <v>0</v>
      </c>
      <c r="AC271" s="51">
        <f>ROUND(IF(AQ271="1",BI271,0),2)</f>
        <v>0</v>
      </c>
      <c r="AD271" s="51">
        <f>ROUND(IF(AQ271="7",BH271,0),2)</f>
        <v>0</v>
      </c>
      <c r="AE271" s="51">
        <f>ROUND(IF(AQ271="7",BI271,0),2)</f>
        <v>0</v>
      </c>
      <c r="AF271" s="51">
        <f>ROUND(IF(AQ271="2",BH271,0),2)</f>
        <v>0</v>
      </c>
      <c r="AG271" s="51">
        <f>ROUND(IF(AQ271="2",BI271,0),2)</f>
        <v>0</v>
      </c>
      <c r="AH271" s="51">
        <f>ROUND(IF(AQ271="0",BJ271,0),2)</f>
        <v>0</v>
      </c>
      <c r="AI271" s="35" t="s">
        <v>4</v>
      </c>
      <c r="AJ271" s="51">
        <f>IF(AN271=0,H271,0)</f>
        <v>0</v>
      </c>
      <c r="AK271" s="51">
        <f>IF(AN271=12,H271,0)</f>
        <v>0</v>
      </c>
      <c r="AL271" s="51">
        <f>IF(AN271=21,H271,0)</f>
        <v>0</v>
      </c>
      <c r="AN271" s="51">
        <v>12</v>
      </c>
      <c r="AO271" s="51">
        <f>G271*0</f>
        <v>0</v>
      </c>
      <c r="AP271" s="51">
        <f>G271*(1-0)</f>
        <v>0</v>
      </c>
      <c r="AQ271" s="53" t="s">
        <v>310</v>
      </c>
      <c r="AV271" s="51">
        <f>ROUND(AW271+AX271,2)</f>
        <v>0</v>
      </c>
      <c r="AW271" s="51">
        <f>ROUND(F271*AO271,2)</f>
        <v>0</v>
      </c>
      <c r="AX271" s="51">
        <f>ROUND(F271*AP271,2)</f>
        <v>0</v>
      </c>
      <c r="AY271" s="53" t="s">
        <v>720</v>
      </c>
      <c r="AZ271" s="53" t="s">
        <v>715</v>
      </c>
      <c r="BA271" s="35" t="s">
        <v>117</v>
      </c>
      <c r="BC271" s="51">
        <f>AW271+AX271</f>
        <v>0</v>
      </c>
      <c r="BD271" s="51">
        <f>G271/(100-BE271)*100</f>
        <v>0</v>
      </c>
      <c r="BE271" s="51">
        <v>0</v>
      </c>
      <c r="BF271" s="51">
        <f>271</f>
        <v>271</v>
      </c>
      <c r="BH271" s="51">
        <f>F271*AO271</f>
        <v>0</v>
      </c>
      <c r="BI271" s="51">
        <f>F271*AP271</f>
        <v>0</v>
      </c>
      <c r="BJ271" s="51">
        <f>F271*G271</f>
        <v>0</v>
      </c>
      <c r="BK271" s="53" t="s">
        <v>118</v>
      </c>
      <c r="BL271" s="51"/>
      <c r="BR271" s="51">
        <f>F271*G271</f>
        <v>0</v>
      </c>
      <c r="BW271" s="51">
        <v>12</v>
      </c>
      <c r="BX271" s="3" t="s">
        <v>719</v>
      </c>
    </row>
    <row r="272" spans="1:76">
      <c r="H272" s="63">
        <f>ROUND(H13+H30+H70+H77+H86+H108+H110+H122+H133+H145+H168+H172+H174+H190+H206+H226+H230+H246+H251+H261+H268+H270,2)</f>
        <v>0</v>
      </c>
    </row>
    <row r="273" spans="1:10">
      <c r="A273" s="64" t="s">
        <v>56</v>
      </c>
    </row>
    <row r="274" spans="1:10" ht="12.75" customHeight="1">
      <c r="A274" s="75" t="s">
        <v>4</v>
      </c>
      <c r="B274" s="70"/>
      <c r="C274" s="70"/>
      <c r="D274" s="70"/>
      <c r="E274" s="70"/>
      <c r="F274" s="70"/>
      <c r="G274" s="70"/>
      <c r="H274" s="70"/>
      <c r="I274" s="70"/>
      <c r="J274" s="70"/>
    </row>
  </sheetData>
  <sheetProtection password="CF7A" sheet="1"/>
  <mergeCells count="207">
    <mergeCell ref="A274:J274"/>
    <mergeCell ref="C267:D267"/>
    <mergeCell ref="C268:D268"/>
    <mergeCell ref="C269:D269"/>
    <mergeCell ref="C270:D270"/>
    <mergeCell ref="C271:D271"/>
    <mergeCell ref="C262:D262"/>
    <mergeCell ref="C263:D263"/>
    <mergeCell ref="C264:D264"/>
    <mergeCell ref="C265:D265"/>
    <mergeCell ref="C266:D266"/>
    <mergeCell ref="C251:D251"/>
    <mergeCell ref="C252:D252"/>
    <mergeCell ref="C258:D258"/>
    <mergeCell ref="C259:D259"/>
    <mergeCell ref="C261:D261"/>
    <mergeCell ref="C246:D246"/>
    <mergeCell ref="C247:D247"/>
    <mergeCell ref="C248:J248"/>
    <mergeCell ref="C249:D249"/>
    <mergeCell ref="C250:D250"/>
    <mergeCell ref="C238:D238"/>
    <mergeCell ref="C239:D239"/>
    <mergeCell ref="C240:J240"/>
    <mergeCell ref="C243:D243"/>
    <mergeCell ref="C245:D245"/>
    <mergeCell ref="C229:D229"/>
    <mergeCell ref="C230:D230"/>
    <mergeCell ref="C231:D231"/>
    <mergeCell ref="C235:D235"/>
    <mergeCell ref="C236:D236"/>
    <mergeCell ref="C223:D223"/>
    <mergeCell ref="C225:D225"/>
    <mergeCell ref="C226:D226"/>
    <mergeCell ref="C227:D227"/>
    <mergeCell ref="C228:D228"/>
    <mergeCell ref="C211:D211"/>
    <mergeCell ref="C215:D215"/>
    <mergeCell ref="C216:J216"/>
    <mergeCell ref="C220:D220"/>
    <mergeCell ref="C222:D222"/>
    <mergeCell ref="C202:D202"/>
    <mergeCell ref="C203:D203"/>
    <mergeCell ref="C205:D205"/>
    <mergeCell ref="C206:D206"/>
    <mergeCell ref="C207:D207"/>
    <mergeCell ref="C191:D191"/>
    <mergeCell ref="C192:D192"/>
    <mergeCell ref="C194:D194"/>
    <mergeCell ref="C196:D196"/>
    <mergeCell ref="C198:D198"/>
    <mergeCell ref="C186:D186"/>
    <mergeCell ref="C187:D187"/>
    <mergeCell ref="C188:D188"/>
    <mergeCell ref="C189:D189"/>
    <mergeCell ref="C190:D190"/>
    <mergeCell ref="C180:D180"/>
    <mergeCell ref="C181:D181"/>
    <mergeCell ref="C182:D182"/>
    <mergeCell ref="C183:D183"/>
    <mergeCell ref="C184:D184"/>
    <mergeCell ref="C175:D175"/>
    <mergeCell ref="C176:D176"/>
    <mergeCell ref="C177:D177"/>
    <mergeCell ref="C178:D178"/>
    <mergeCell ref="C179:D179"/>
    <mergeCell ref="C170:D170"/>
    <mergeCell ref="C171:D171"/>
    <mergeCell ref="C172:D172"/>
    <mergeCell ref="C173:D173"/>
    <mergeCell ref="C174:D174"/>
    <mergeCell ref="C165:D165"/>
    <mergeCell ref="C166:D166"/>
    <mergeCell ref="C167:D167"/>
    <mergeCell ref="C168:D168"/>
    <mergeCell ref="C169:D169"/>
    <mergeCell ref="C160:D160"/>
    <mergeCell ref="C161:D161"/>
    <mergeCell ref="C162:D162"/>
    <mergeCell ref="C163:D163"/>
    <mergeCell ref="C164:D164"/>
    <mergeCell ref="C155:D155"/>
    <mergeCell ref="C156:D156"/>
    <mergeCell ref="C157:D157"/>
    <mergeCell ref="C158:D158"/>
    <mergeCell ref="C159:D159"/>
    <mergeCell ref="C150:D150"/>
    <mergeCell ref="C151:D151"/>
    <mergeCell ref="C152:D152"/>
    <mergeCell ref="C153:J153"/>
    <mergeCell ref="C154:D154"/>
    <mergeCell ref="C145:D145"/>
    <mergeCell ref="C146:D146"/>
    <mergeCell ref="C147:D147"/>
    <mergeCell ref="C148:D148"/>
    <mergeCell ref="C149:D149"/>
    <mergeCell ref="C140:J140"/>
    <mergeCell ref="C141:D141"/>
    <mergeCell ref="C142:D142"/>
    <mergeCell ref="C143:D143"/>
    <mergeCell ref="C144:D144"/>
    <mergeCell ref="C135:D135"/>
    <mergeCell ref="C136:D136"/>
    <mergeCell ref="C137:D137"/>
    <mergeCell ref="C138:D138"/>
    <mergeCell ref="C139:D139"/>
    <mergeCell ref="C130:D130"/>
    <mergeCell ref="C131:D131"/>
    <mergeCell ref="C132:D132"/>
    <mergeCell ref="C133:D133"/>
    <mergeCell ref="C134:D134"/>
    <mergeCell ref="C125:D125"/>
    <mergeCell ref="C126:D126"/>
    <mergeCell ref="C127:D127"/>
    <mergeCell ref="C128:D128"/>
    <mergeCell ref="C129:D129"/>
    <mergeCell ref="C118:J118"/>
    <mergeCell ref="C121:D121"/>
    <mergeCell ref="C122:D122"/>
    <mergeCell ref="C123:D123"/>
    <mergeCell ref="C124:D124"/>
    <mergeCell ref="C110:D110"/>
    <mergeCell ref="C111:D111"/>
    <mergeCell ref="C112:D112"/>
    <mergeCell ref="C113:J113"/>
    <mergeCell ref="C117:D117"/>
    <mergeCell ref="C101:D101"/>
    <mergeCell ref="C103:D103"/>
    <mergeCell ref="C105:D105"/>
    <mergeCell ref="C108:D108"/>
    <mergeCell ref="C109:D109"/>
    <mergeCell ref="C94:D94"/>
    <mergeCell ref="C96:D96"/>
    <mergeCell ref="C97:D97"/>
    <mergeCell ref="C98:D98"/>
    <mergeCell ref="C100:D100"/>
    <mergeCell ref="C87:D87"/>
    <mergeCell ref="C88:D88"/>
    <mergeCell ref="C89:D89"/>
    <mergeCell ref="C90:D90"/>
    <mergeCell ref="C92:D92"/>
    <mergeCell ref="C80:D80"/>
    <mergeCell ref="C81:D81"/>
    <mergeCell ref="C83:D83"/>
    <mergeCell ref="C85:D85"/>
    <mergeCell ref="C86:D86"/>
    <mergeCell ref="C74:J74"/>
    <mergeCell ref="C76:D76"/>
    <mergeCell ref="C77:D77"/>
    <mergeCell ref="C78:D78"/>
    <mergeCell ref="C79:J79"/>
    <mergeCell ref="C67:D67"/>
    <mergeCell ref="C68:J68"/>
    <mergeCell ref="C70:D70"/>
    <mergeCell ref="C71:D71"/>
    <mergeCell ref="C73:D73"/>
    <mergeCell ref="C51:D51"/>
    <mergeCell ref="C52:J52"/>
    <mergeCell ref="C59:D59"/>
    <mergeCell ref="C62:D62"/>
    <mergeCell ref="C63:J63"/>
    <mergeCell ref="C34:D34"/>
    <mergeCell ref="C36:D36"/>
    <mergeCell ref="C37:D37"/>
    <mergeCell ref="C44:D44"/>
    <mergeCell ref="C46:D46"/>
    <mergeCell ref="C25:D25"/>
    <mergeCell ref="C28:D28"/>
    <mergeCell ref="C30:D30"/>
    <mergeCell ref="C31:D31"/>
    <mergeCell ref="C32:D32"/>
    <mergeCell ref="C16:D16"/>
    <mergeCell ref="C18:D18"/>
    <mergeCell ref="C20:D20"/>
    <mergeCell ref="C23:D23"/>
    <mergeCell ref="C24:J24"/>
    <mergeCell ref="C11:D11"/>
    <mergeCell ref="C12:D12"/>
    <mergeCell ref="C13:D13"/>
    <mergeCell ref="C14:D14"/>
    <mergeCell ref="C15:J15"/>
    <mergeCell ref="I2:J3"/>
    <mergeCell ref="I4:J5"/>
    <mergeCell ref="I6:J7"/>
    <mergeCell ref="I8:J9"/>
    <mergeCell ref="C10:D10"/>
    <mergeCell ref="C8:D9"/>
    <mergeCell ref="G2:G3"/>
    <mergeCell ref="G4:G5"/>
    <mergeCell ref="G6:G7"/>
    <mergeCell ref="G8:G9"/>
    <mergeCell ref="A1:J1"/>
    <mergeCell ref="A2:B3"/>
    <mergeCell ref="A4:B5"/>
    <mergeCell ref="A6:B7"/>
    <mergeCell ref="A8:B9"/>
    <mergeCell ref="E2:F3"/>
    <mergeCell ref="E4:F5"/>
    <mergeCell ref="E6:F7"/>
    <mergeCell ref="E8:F9"/>
    <mergeCell ref="H2:H3"/>
    <mergeCell ref="H4:H5"/>
    <mergeCell ref="H6:H7"/>
    <mergeCell ref="H8:H9"/>
    <mergeCell ref="C2:D3"/>
    <mergeCell ref="C4:D5"/>
    <mergeCell ref="C6:D7"/>
  </mergeCells>
  <pageMargins left="0.393999993801117" right="0.393999993801117" top="0.59100002050399802" bottom="0.59100002050399802" header="0" footer="0"/>
  <pageSetup fitToHeight="0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Krycí list rozpočtu</vt:lpstr>
      <vt:lpstr>VORN</vt:lpstr>
      <vt:lpstr>Stavební rozpočet</vt:lpstr>
      <vt:lpstr>vorn_sum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Franta</cp:lastModifiedBy>
  <dcterms:created xsi:type="dcterms:W3CDTF">2021-06-10T20:06:38Z</dcterms:created>
  <dcterms:modified xsi:type="dcterms:W3CDTF">2025-09-15T08:06:33Z</dcterms:modified>
</cp:coreProperties>
</file>